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6d026ef6d22b44d/Desktop/Data Analysis/Skechers FP^0A Project/"/>
    </mc:Choice>
  </mc:AlternateContent>
  <xr:revisionPtr revIDLastSave="0" documentId="11_CD508BCBC8DC02F87CFBB988EE31C2EFD0EF854B" xr6:coauthVersionLast="47" xr6:coauthVersionMax="47" xr10:uidLastSave="{00000000-0000-0000-0000-000000000000}"/>
  <bookViews>
    <workbookView xWindow="-108" yWindow="-108" windowWidth="23256" windowHeight="12456" tabRatio="500" firstSheet="5" activeTab="8" xr2:uid="{00000000-000D-0000-FFFF-FFFF00000000}"/>
  </bookViews>
  <sheets>
    <sheet name="README" sheetId="1" r:id="rId1"/>
    <sheet name="Historical Financials" sheetId="2" r:id="rId2"/>
    <sheet name="Assumptions" sheetId="3" r:id="rId3"/>
    <sheet name="Supporting Schedules" sheetId="4" r:id="rId4"/>
    <sheet name="Income Statement Forecast" sheetId="5" r:id="rId5"/>
    <sheet name="Balance Sheet Forecast" sheetId="6" r:id="rId6"/>
    <sheet name="Cash Flow Forecast" sheetId="7" r:id="rId7"/>
    <sheet name="Variance Analysis" sheetId="8" r:id="rId8"/>
    <sheet name="Scenario Analysis" sheetId="9" r:id="rId9"/>
    <sheet name="KPI Dashboard" sheetId="10" r:id="rId10"/>
  </sheets>
  <definedNames>
    <definedName name="Accrued_Pct">Assumptions!$L$33</definedName>
    <definedName name="BS_Accrued_25">'Balance Sheet Forecast'!$C$21</definedName>
    <definedName name="BS_Accrued_26">'Balance Sheet Forecast'!$D$21</definedName>
    <definedName name="BS_Accrued_27">'Balance Sheet Forecast'!$E$21</definedName>
    <definedName name="BS_AP_25">'Balance Sheet Forecast'!$C$20</definedName>
    <definedName name="BS_AP_26">'Balance Sheet Forecast'!$D$20</definedName>
    <definedName name="BS_AP_27">'Balance Sheet Forecast'!$E$20</definedName>
    <definedName name="BS_AR_25">'Balance Sheet Forecast'!$C$9</definedName>
    <definedName name="BS_AR_26">'Balance Sheet Forecast'!$D$9</definedName>
    <definedName name="BS_AR_27">'Balance Sheet Forecast'!$E$9</definedName>
    <definedName name="BS_BalanceCheck_25">'Balance Sheet Forecast'!$C$38</definedName>
    <definedName name="BS_BalanceCheck_26">'Balance Sheet Forecast'!$D$38</definedName>
    <definedName name="BS_BalanceCheck_27">'Balance Sheet Forecast'!$E$38</definedName>
    <definedName name="BS_Cash_25">'Balance Sheet Forecast'!$C$7</definedName>
    <definedName name="BS_Cash_26">'Balance Sheet Forecast'!$D$7</definedName>
    <definedName name="BS_Cash_27">'Balance Sheet Forecast'!$E$7</definedName>
    <definedName name="BS_Inventory_25">'Balance Sheet Forecast'!$C$10</definedName>
    <definedName name="BS_Inventory_26">'Balance Sheet Forecast'!$D$10</definedName>
    <definedName name="BS_Inventory_27">'Balance Sheet Forecast'!$E$10</definedName>
    <definedName name="BS_OtherCA_25">'Balance Sheet Forecast'!$C$11</definedName>
    <definedName name="BS_OtherCA_26">'Balance Sheet Forecast'!$D$11</definedName>
    <definedName name="BS_OtherCA_27">'Balance Sheet Forecast'!$E$11</definedName>
    <definedName name="BS_RetainedEarnings_25">'Balance Sheet Forecast'!$C$32</definedName>
    <definedName name="BS_RetainedEarnings_26">'Balance Sheet Forecast'!$D$32</definedName>
    <definedName name="BS_RetainedEarnings_27">'Balance Sheet Forecast'!$E$32</definedName>
    <definedName name="BS_TotalAssets_25">'Balance Sheet Forecast'!$C$17</definedName>
    <definedName name="BS_TotalAssets_26">'Balance Sheet Forecast'!$D$17</definedName>
    <definedName name="BS_TotalAssets_27">'Balance Sheet Forecast'!$E$17</definedName>
    <definedName name="BS_TotalEquity_25">'Balance Sheet Forecast'!$C$34</definedName>
    <definedName name="BS_TotalEquity_26">'Balance Sheet Forecast'!$D$34</definedName>
    <definedName name="BS_TotalEquity_27">'Balance Sheet Forecast'!$E$34</definedName>
    <definedName name="BS_TotalLiab_25">'Balance Sheet Forecast'!$C$29</definedName>
    <definedName name="BS_TotalLiab_26">'Balance Sheet Forecast'!$D$29</definedName>
    <definedName name="BS_TotalLiab_27">'Balance Sheet Forecast'!$E$29</definedName>
    <definedName name="CapEx_25">Assumptions!$L$37</definedName>
    <definedName name="CapEx_26">Assumptions!$M$37</definedName>
    <definedName name="CapEx_27">Assumptions!$N$37</definedName>
    <definedName name="CF_EndingCash_25">'Cash Flow Forecast'!$C$30</definedName>
    <definedName name="CF_EndingCash_26">'Cash Flow Forecast'!$D$30</definedName>
    <definedName name="CF_EndingCash_27">'Cash Flow Forecast'!$E$30</definedName>
    <definedName name="CF_FCF_25">'Cash Flow Forecast'!$C$32</definedName>
    <definedName name="CF_FCF_26">'Cash Flow Forecast'!$D$32</definedName>
    <definedName name="CF_FCF_27">'Cash Flow Forecast'!$E$32</definedName>
    <definedName name="CF_FinancingCF_25">'Cash Flow Forecast'!$C$25</definedName>
    <definedName name="CF_FinancingCF_26">'Cash Flow Forecast'!$D$25</definedName>
    <definedName name="CF_FinancingCF_27">'Cash Flow Forecast'!$E$25</definedName>
    <definedName name="CF_InvestingCF_25">'Cash Flow Forecast'!$C$19</definedName>
    <definedName name="CF_InvestingCF_26">'Cash Flow Forecast'!$D$19</definedName>
    <definedName name="CF_InvestingCF_27">'Cash Flow Forecast'!$E$19</definedName>
    <definedName name="CF_NetChange_25">'Cash Flow Forecast'!$C$28</definedName>
    <definedName name="CF_NetChange_26">'Cash Flow Forecast'!$D$28</definedName>
    <definedName name="CF_NetChange_27">'Cash Flow Forecast'!$E$28</definedName>
    <definedName name="CF_OperatingCF_25">'Cash Flow Forecast'!$C$15</definedName>
    <definedName name="CF_OperatingCF_26">'Cash Flow Forecast'!$D$15</definedName>
    <definedName name="CF_OperatingCF_27">'Cash Flow Forecast'!$E$15</definedName>
    <definedName name="CF_TieCheck_25">'Cash Flow Forecast'!$C$35</definedName>
    <definedName name="CF_TieCheck_26">'Cash Flow Forecast'!$D$35</definedName>
    <definedName name="CF_TieCheck_27">'Cash Flow Forecast'!$E$35</definedName>
    <definedName name="DA_25">'Supporting Schedules'!$C$11</definedName>
    <definedName name="DA_26">'Supporting Schedules'!$D$11</definedName>
    <definedName name="DA_27">'Supporting Schedules'!$E$11</definedName>
    <definedName name="DA_Rate">Assumptions!$L$38</definedName>
    <definedName name="Dash_Year">'KPI Dashboard'!$B$5</definedName>
    <definedName name="Dash_YearIdx">'KPI Dashboard'!$B$6</definedName>
    <definedName name="Debt_Curr_25">'Supporting Schedules'!$C$19</definedName>
    <definedName name="Debt_Curr_26">'Supporting Schedules'!$D$19</definedName>
    <definedName name="Debt_Curr_27">'Supporting Schedules'!$E$19</definedName>
    <definedName name="Debt_End_25">'Supporting Schedules'!$C$17</definedName>
    <definedName name="Debt_End_26">'Supporting Schedules'!$D$17</definedName>
    <definedName name="Debt_End_27">'Supporting Schedules'!$E$17</definedName>
    <definedName name="Debt_LT_25">'Supporting Schedules'!$C$20</definedName>
    <definedName name="Debt_LT_26">'Supporting Schedules'!$D$20</definedName>
    <definedName name="Debt_LT_27">'Supporting Schedules'!$E$20</definedName>
    <definedName name="DIO">Assumptions!$L$31</definedName>
    <definedName name="DPO">Assumptions!$L$32</definedName>
    <definedName name="DSO">Assumptions!$L$30</definedName>
    <definedName name="DTC_GM_25">Assumptions!$L$18</definedName>
    <definedName name="DTC_GM_26">Assumptions!$M$18</definedName>
    <definedName name="DTC_GM_27">Assumptions!$N$18</definedName>
    <definedName name="DTC_Growth_25">Assumptions!$L$14</definedName>
    <definedName name="DTC_Growth_26">Assumptions!$M$14</definedName>
    <definedName name="DTC_Growth_27">Assumptions!$N$14</definedName>
    <definedName name="GA_Pct_25">Assumptions!$L$22</definedName>
    <definedName name="GA_Pct_26">Assumptions!$M$22</definedName>
    <definedName name="GA_Pct_27">Assumptions!$N$22</definedName>
    <definedName name="Int_Exp_25">'Supporting Schedules'!$C$18</definedName>
    <definedName name="Int_Exp_26">'Supporting Schedules'!$D$18</definedName>
    <definedName name="Int_Exp_27">'Supporting Schedules'!$E$18</definedName>
    <definedName name="Int_Rate">Assumptions!$L$43</definedName>
    <definedName name="IS_COGS_25">'Income Statement Forecast'!$C$19</definedName>
    <definedName name="IS_COGS_26">'Income Statement Forecast'!$D$19</definedName>
    <definedName name="IS_COGS_27">'Income Statement Forecast'!$E$19</definedName>
    <definedName name="IS_DTCRev_25">'Income Statement Forecast'!$C$9</definedName>
    <definedName name="IS_DTCRev_26">'Income Statement Forecast'!$D$9</definedName>
    <definedName name="IS_DTCRev_27">'Income Statement Forecast'!$E$9</definedName>
    <definedName name="IS_EBT_25">'Income Statement Forecast'!$C$31</definedName>
    <definedName name="IS_EBT_26">'Income Statement Forecast'!$D$31</definedName>
    <definedName name="IS_EBT_27">'Income Statement Forecast'!$E$31</definedName>
    <definedName name="IS_EPS_25">'Income Statement Forecast'!$C$38</definedName>
    <definedName name="IS_EPS_26">'Income Statement Forecast'!$D$38</definedName>
    <definedName name="IS_EPS_27">'Income Statement Forecast'!$E$38</definedName>
    <definedName name="IS_GA_25">'Income Statement Forecast'!$C$24</definedName>
    <definedName name="IS_GA_26">'Income Statement Forecast'!$D$24</definedName>
    <definedName name="IS_GA_27">'Income Statement Forecast'!$E$24</definedName>
    <definedName name="IS_GrossProfit_25">'Income Statement Forecast'!$C$20</definedName>
    <definedName name="IS_GrossProfit_26">'Income Statement Forecast'!$D$20</definedName>
    <definedName name="IS_GrossProfit_27">'Income Statement Forecast'!$E$20</definedName>
    <definedName name="IS_NCI_25">'Income Statement Forecast'!$C$34</definedName>
    <definedName name="IS_NCI_26">'Income Statement Forecast'!$D$34</definedName>
    <definedName name="IS_NCI_27">'Income Statement Forecast'!$E$34</definedName>
    <definedName name="IS_NetEarnings_25">'Income Statement Forecast'!$C$33</definedName>
    <definedName name="IS_NetEarnings_26">'Income Statement Forecast'!$D$33</definedName>
    <definedName name="IS_NetEarnings_27">'Income Statement Forecast'!$E$33</definedName>
    <definedName name="IS_NetSKX_25">'Income Statement Forecast'!$C$35</definedName>
    <definedName name="IS_NetSKX_26">'Income Statement Forecast'!$D$35</definedName>
    <definedName name="IS_NetSKX_27">'Income Statement Forecast'!$E$35</definedName>
    <definedName name="IS_OpInc_25">'Income Statement Forecast'!$C$26</definedName>
    <definedName name="IS_OpInc_26">'Income Statement Forecast'!$D$26</definedName>
    <definedName name="IS_OpInc_27">'Income Statement Forecast'!$E$26</definedName>
    <definedName name="IS_Sales_25">'Income Statement Forecast'!$C$18</definedName>
    <definedName name="IS_Sales_26">'Income Statement Forecast'!$D$18</definedName>
    <definedName name="IS_Sales_27">'Income Statement Forecast'!$E$18</definedName>
    <definedName name="IS_SellingExp_25">'Income Statement Forecast'!$C$23</definedName>
    <definedName name="IS_SellingExp_26">'Income Statement Forecast'!$D$23</definedName>
    <definedName name="IS_SellingExp_27">'Income Statement Forecast'!$E$23</definedName>
    <definedName name="IS_Tax_25">'Income Statement Forecast'!$C$32</definedName>
    <definedName name="IS_Tax_26">'Income Statement Forecast'!$D$32</definedName>
    <definedName name="IS_Tax_27">'Income Statement Forecast'!$E$32</definedName>
    <definedName name="IS_WhRev_25">'Income Statement Forecast'!$C$8</definedName>
    <definedName name="IS_WhRev_26">'Income Statement Forecast'!$D$8</definedName>
    <definedName name="IS_WhRev_27">'Income Statement Forecast'!$E$8</definedName>
    <definedName name="NCI_Pct">Assumptions!$L$27</definedName>
    <definedName name="New_Borrow">Assumptions!$L$41</definedName>
    <definedName name="OCA_Pct">Assumptions!$L$34</definedName>
    <definedName name="Other_Inc">Assumptions!$L$26</definedName>
    <definedName name="PPE_End_25">'Supporting Schedules'!$C$10</definedName>
    <definedName name="PPE_End_26">'Supporting Schedules'!$D$10</definedName>
    <definedName name="PPE_End_27">'Supporting Schedules'!$E$10</definedName>
    <definedName name="_xlnm.Print_Area" localSheetId="1">'Historical Financials'!$A$1:$G$120</definedName>
    <definedName name="Repay">Assumptions!$L$42</definedName>
    <definedName name="Repurchase">Assumptions!$L$47</definedName>
    <definedName name="Repurchase_Price">Assumptions!$L$48</definedName>
    <definedName name="SBC_Pct">Assumptions!$L$49</definedName>
    <definedName name="SC_MiniFCF">'Scenario Analysis'!$B$59</definedName>
    <definedName name="SC_MiniNetSKX">'Scenario Analysis'!$B$56</definedName>
    <definedName name="SC_RecapBase_FCF">'Scenario Analysis'!$C$13</definedName>
    <definedName name="SC_RecapBase_NetSKX">'Scenario Analysis'!$C$11</definedName>
    <definedName name="SC_RecapBase_Rev">'Scenario Analysis'!$C$8</definedName>
    <definedName name="Scenario">Assumptions!$B$5</definedName>
    <definedName name="ScenarioIndex">Assumptions!$E$5</definedName>
    <definedName name="Selling_Pct_25">Assumptions!$L$21</definedName>
    <definedName name="Selling_Pct_26">Assumptions!$M$21</definedName>
    <definedName name="Selling_Pct_27">Assumptions!$N$21</definedName>
    <definedName name="Shares_Begin">Assumptions!$L$46</definedName>
    <definedName name="Shares_End_25">'Supporting Schedules'!$C$26</definedName>
    <definedName name="Shares_End_26">'Supporting Schedules'!$D$26</definedName>
    <definedName name="Shares_End_27">'Supporting Schedules'!$E$26</definedName>
    <definedName name="Tax_25">Assumptions!$L$25</definedName>
    <definedName name="Tax_26">Assumptions!$M$25</definedName>
    <definedName name="Tax_27">Assumptions!$N$25</definedName>
    <definedName name="VA_EPSVar">'Variance Analysis'!$D$22</definedName>
    <definedName name="VA_GPVar">'Variance Analysis'!$D$13</definedName>
    <definedName name="VA_NetVar">'Variance Analysis'!$D$21</definedName>
    <definedName name="VA_OpIncVar">'Variance Analysis'!$D$17</definedName>
    <definedName name="VA_RevVar">'Variance Analysis'!$D$10</definedName>
    <definedName name="VA_RevVarPct">'Variance Analysis'!$E$10</definedName>
    <definedName name="Wh_GM_25">Assumptions!$L$17</definedName>
    <definedName name="Wh_GM_26">Assumptions!$M$17</definedName>
    <definedName name="Wh_GM_27">Assumptions!$N$17</definedName>
    <definedName name="Wh_Growth_25">Assumptions!$L$13</definedName>
    <definedName name="Wh_Growth_26">Assumptions!$M$13</definedName>
    <definedName name="Wh_Growth_27">Assumptions!$N$13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10" l="1"/>
  <c r="S22" i="10"/>
  <c r="T21" i="10"/>
  <c r="S21" i="10"/>
  <c r="T20" i="10"/>
  <c r="S20" i="10"/>
  <c r="W16" i="10"/>
  <c r="W15" i="10"/>
  <c r="W8" i="10"/>
  <c r="V8" i="10"/>
  <c r="U8" i="10"/>
  <c r="T8" i="10"/>
  <c r="S8" i="10"/>
  <c r="W7" i="10"/>
  <c r="V7" i="10"/>
  <c r="U7" i="10"/>
  <c r="T7" i="10"/>
  <c r="S7" i="10"/>
  <c r="W6" i="10"/>
  <c r="V6" i="10"/>
  <c r="U6" i="10"/>
  <c r="T6" i="10"/>
  <c r="S6" i="10"/>
  <c r="B6" i="10"/>
  <c r="C22" i="8"/>
  <c r="D22" i="8" s="1"/>
  <c r="E22" i="8" s="1"/>
  <c r="C21" i="8"/>
  <c r="D21" i="8" s="1"/>
  <c r="E21" i="8" s="1"/>
  <c r="C18" i="8"/>
  <c r="D18" i="8" s="1"/>
  <c r="D17" i="8"/>
  <c r="E17" i="8" s="1"/>
  <c r="C17" i="8"/>
  <c r="C16" i="8"/>
  <c r="D16" i="8" s="1"/>
  <c r="E16" i="8" s="1"/>
  <c r="C15" i="8"/>
  <c r="D15" i="8" s="1"/>
  <c r="E15" i="8" s="1"/>
  <c r="C14" i="8"/>
  <c r="D14" i="8" s="1"/>
  <c r="D13" i="8"/>
  <c r="E13" i="8" s="1"/>
  <c r="C13" i="8"/>
  <c r="C10" i="8"/>
  <c r="D10" i="8" s="1"/>
  <c r="E10" i="8" s="1"/>
  <c r="C9" i="8"/>
  <c r="D9" i="8" s="1"/>
  <c r="E9" i="8" s="1"/>
  <c r="C8" i="8"/>
  <c r="D8" i="8" s="1"/>
  <c r="E8" i="8" s="1"/>
  <c r="B30" i="7"/>
  <c r="C29" i="7" s="1"/>
  <c r="B33" i="6"/>
  <c r="B32" i="6"/>
  <c r="B28" i="6"/>
  <c r="C28" i="6" s="1"/>
  <c r="D28" i="6" s="1"/>
  <c r="E28" i="6" s="1"/>
  <c r="C27" i="6"/>
  <c r="D27" i="6" s="1"/>
  <c r="E27" i="6" s="1"/>
  <c r="B27" i="6"/>
  <c r="B26" i="6"/>
  <c r="B23" i="6"/>
  <c r="C22" i="6"/>
  <c r="D22" i="6" s="1"/>
  <c r="E22" i="6" s="1"/>
  <c r="B22" i="6"/>
  <c r="B21" i="6"/>
  <c r="B20" i="6"/>
  <c r="C16" i="6"/>
  <c r="D16" i="6" s="1"/>
  <c r="E16" i="6" s="1"/>
  <c r="B16" i="6"/>
  <c r="B15" i="6"/>
  <c r="C15" i="6" s="1"/>
  <c r="D15" i="6" s="1"/>
  <c r="E15" i="6" s="1"/>
  <c r="B14" i="6"/>
  <c r="B11" i="6"/>
  <c r="B10" i="6"/>
  <c r="B9" i="6"/>
  <c r="B8" i="6"/>
  <c r="C8" i="6" s="1"/>
  <c r="D8" i="6" s="1"/>
  <c r="E8" i="6" s="1"/>
  <c r="B7" i="6"/>
  <c r="B39" i="5"/>
  <c r="B38" i="5"/>
  <c r="B35" i="5"/>
  <c r="B36" i="5" s="1"/>
  <c r="B25" i="5"/>
  <c r="B19" i="5"/>
  <c r="B18" i="5"/>
  <c r="B20" i="5" s="1"/>
  <c r="B9" i="5"/>
  <c r="B8" i="5"/>
  <c r="B26" i="4"/>
  <c r="B17" i="4"/>
  <c r="C14" i="4"/>
  <c r="B10" i="4"/>
  <c r="C7" i="4"/>
  <c r="E5" i="3"/>
  <c r="L49" i="3" s="1"/>
  <c r="F114" i="2"/>
  <c r="E114" i="2"/>
  <c r="D114" i="2"/>
  <c r="C114" i="2"/>
  <c r="B114" i="2"/>
  <c r="F113" i="2"/>
  <c r="E113" i="2"/>
  <c r="D113" i="2"/>
  <c r="C113" i="2"/>
  <c r="B113" i="2"/>
  <c r="F110" i="2"/>
  <c r="E110" i="2"/>
  <c r="D110" i="2"/>
  <c r="C110" i="2"/>
  <c r="F109" i="2"/>
  <c r="E109" i="2"/>
  <c r="D109" i="2"/>
  <c r="C109" i="2"/>
  <c r="B109" i="2"/>
  <c r="F106" i="2"/>
  <c r="W14" i="10" s="1"/>
  <c r="E106" i="2"/>
  <c r="V14" i="10" s="1"/>
  <c r="D106" i="2"/>
  <c r="U14" i="10" s="1"/>
  <c r="C106" i="2"/>
  <c r="T14" i="10" s="1"/>
  <c r="B106" i="2"/>
  <c r="S14" i="10" s="1"/>
  <c r="F105" i="2"/>
  <c r="W13" i="10" s="1"/>
  <c r="E105" i="2"/>
  <c r="V13" i="10" s="1"/>
  <c r="D105" i="2"/>
  <c r="U13" i="10" s="1"/>
  <c r="C105" i="2"/>
  <c r="T13" i="10" s="1"/>
  <c r="B105" i="2"/>
  <c r="S13" i="10" s="1"/>
  <c r="F104" i="2"/>
  <c r="E104" i="2"/>
  <c r="V12" i="10" s="1"/>
  <c r="D104" i="2"/>
  <c r="C104" i="2"/>
  <c r="T12" i="10" s="1"/>
  <c r="B104" i="2"/>
  <c r="S12" i="10" s="1"/>
  <c r="F101" i="2"/>
  <c r="W17" i="10" s="1"/>
  <c r="E101" i="2"/>
  <c r="D101" i="2"/>
  <c r="C101" i="2"/>
  <c r="B101" i="2"/>
  <c r="F75" i="2"/>
  <c r="E75" i="2"/>
  <c r="D75" i="2"/>
  <c r="C75" i="2"/>
  <c r="B75" i="2"/>
  <c r="F45" i="2"/>
  <c r="E45" i="2"/>
  <c r="D45" i="2"/>
  <c r="C45" i="2"/>
  <c r="B45" i="2"/>
  <c r="F42" i="2"/>
  <c r="E42" i="2"/>
  <c r="D42" i="2"/>
  <c r="C42" i="2"/>
  <c r="F38" i="2"/>
  <c r="E38" i="2"/>
  <c r="D38" i="2"/>
  <c r="C38" i="2"/>
  <c r="F34" i="2"/>
  <c r="E34" i="2"/>
  <c r="D34" i="2"/>
  <c r="C34" i="2"/>
  <c r="F33" i="2"/>
  <c r="E33" i="2"/>
  <c r="D33" i="2"/>
  <c r="C33" i="2"/>
  <c r="B33" i="2"/>
  <c r="F32" i="2"/>
  <c r="E32" i="2"/>
  <c r="D32" i="2"/>
  <c r="C32" i="2"/>
  <c r="B32" i="2"/>
  <c r="F27" i="2"/>
  <c r="W11" i="10" s="1"/>
  <c r="E27" i="2"/>
  <c r="V11" i="10" s="1"/>
  <c r="D27" i="2"/>
  <c r="U11" i="10" s="1"/>
  <c r="C27" i="2"/>
  <c r="T11" i="10" s="1"/>
  <c r="B27" i="2"/>
  <c r="S11" i="10" s="1"/>
  <c r="F23" i="2"/>
  <c r="E23" i="2"/>
  <c r="D23" i="2"/>
  <c r="C23" i="2"/>
  <c r="B23" i="2"/>
  <c r="F18" i="2"/>
  <c r="W10" i="10" s="1"/>
  <c r="E18" i="2"/>
  <c r="V10" i="10" s="1"/>
  <c r="D18" i="2"/>
  <c r="U10" i="10" s="1"/>
  <c r="C18" i="2"/>
  <c r="T10" i="10" s="1"/>
  <c r="B18" i="2"/>
  <c r="S10" i="10" s="1"/>
  <c r="F11" i="2"/>
  <c r="W9" i="10" s="1"/>
  <c r="E11" i="2"/>
  <c r="V9" i="10" s="1"/>
  <c r="D11" i="2"/>
  <c r="U9" i="10" s="1"/>
  <c r="C11" i="2"/>
  <c r="T9" i="10" s="1"/>
  <c r="B11" i="2"/>
  <c r="S9" i="10" s="1"/>
  <c r="F86" i="9"/>
  <c r="H77" i="9"/>
  <c r="B52" i="9"/>
  <c r="B35" i="9"/>
  <c r="B57" i="9" s="1"/>
  <c r="B34" i="9"/>
  <c r="B51" i="9" s="1"/>
  <c r="B33" i="9"/>
  <c r="C86" i="9" s="1"/>
  <c r="B107" i="2" l="1"/>
  <c r="C107" i="2"/>
  <c r="B34" i="6"/>
  <c r="E107" i="2"/>
  <c r="B44" i="9"/>
  <c r="B45" i="9" s="1"/>
  <c r="L13" i="3"/>
  <c r="C8" i="5" s="1"/>
  <c r="M22" i="3"/>
  <c r="N31" i="3"/>
  <c r="L41" i="3"/>
  <c r="D73" i="9"/>
  <c r="M47" i="3"/>
  <c r="L42" i="3"/>
  <c r="M37" i="3"/>
  <c r="N32" i="3"/>
  <c r="L30" i="3"/>
  <c r="M25" i="3"/>
  <c r="N18" i="3"/>
  <c r="L14" i="3"/>
  <c r="C9" i="5" s="1"/>
  <c r="M49" i="3"/>
  <c r="L46" i="3"/>
  <c r="C23" i="4" s="1"/>
  <c r="M41" i="3"/>
  <c r="N34" i="3"/>
  <c r="L32" i="3"/>
  <c r="M27" i="3"/>
  <c r="N22" i="3"/>
  <c r="L18" i="3"/>
  <c r="M13" i="3"/>
  <c r="M48" i="3"/>
  <c r="L43" i="3"/>
  <c r="C18" i="4" s="1"/>
  <c r="C29" i="5" s="1"/>
  <c r="M38" i="3"/>
  <c r="N33" i="3"/>
  <c r="L31" i="3"/>
  <c r="M26" i="3"/>
  <c r="N21" i="3"/>
  <c r="L17" i="3"/>
  <c r="L48" i="3"/>
  <c r="N42" i="3"/>
  <c r="L38" i="3"/>
  <c r="C9" i="4" s="1"/>
  <c r="C11" i="4" s="1"/>
  <c r="C8" i="7" s="1"/>
  <c r="M33" i="3"/>
  <c r="N30" i="3"/>
  <c r="L26" i="3"/>
  <c r="M21" i="3"/>
  <c r="N14" i="3"/>
  <c r="L22" i="3"/>
  <c r="N48" i="3"/>
  <c r="G67" i="9"/>
  <c r="F76" i="9"/>
  <c r="F82" i="9"/>
  <c r="D69" i="9"/>
  <c r="G82" i="9"/>
  <c r="F66" i="9"/>
  <c r="H76" i="9"/>
  <c r="E87" i="9"/>
  <c r="M14" i="3"/>
  <c r="N25" i="3"/>
  <c r="L33" i="3"/>
  <c r="M42" i="3"/>
  <c r="E86" i="9"/>
  <c r="N38" i="3"/>
  <c r="C75" i="9"/>
  <c r="F84" i="9"/>
  <c r="G64" i="9"/>
  <c r="D66" i="9"/>
  <c r="G73" i="9"/>
  <c r="D75" i="9"/>
  <c r="G76" i="9"/>
  <c r="D78" i="9"/>
  <c r="C87" i="9"/>
  <c r="N41" i="3"/>
  <c r="B46" i="9"/>
  <c r="E69" i="9"/>
  <c r="F78" i="9"/>
  <c r="E85" i="9"/>
  <c r="M17" i="3"/>
  <c r="N26" i="3"/>
  <c r="L34" i="3"/>
  <c r="M43" i="3"/>
  <c r="F64" i="9"/>
  <c r="E73" i="9"/>
  <c r="H67" i="9"/>
  <c r="G84" i="9"/>
  <c r="N13" i="3"/>
  <c r="L25" i="3"/>
  <c r="M32" i="3"/>
  <c r="N49" i="3"/>
  <c r="I67" i="9"/>
  <c r="C68" i="9"/>
  <c r="D107" i="2"/>
  <c r="U12" i="10"/>
  <c r="N17" i="3"/>
  <c r="L27" i="3"/>
  <c r="M34" i="3"/>
  <c r="N43" i="3"/>
  <c r="H74" i="9"/>
  <c r="M31" i="3"/>
  <c r="B21" i="5"/>
  <c r="B26" i="5"/>
  <c r="B27" i="5" s="1"/>
  <c r="C69" i="9"/>
  <c r="H64" i="9"/>
  <c r="I73" i="9"/>
  <c r="E75" i="9"/>
  <c r="C83" i="9"/>
  <c r="C85" i="9"/>
  <c r="C65" i="9"/>
  <c r="G66" i="9"/>
  <c r="G69" i="9"/>
  <c r="C74" i="9"/>
  <c r="F75" i="9"/>
  <c r="C77" i="9"/>
  <c r="G78" i="9"/>
  <c r="D83" i="9"/>
  <c r="F87" i="9"/>
  <c r="B48" i="9"/>
  <c r="B58" i="9"/>
  <c r="E65" i="9"/>
  <c r="H66" i="9"/>
  <c r="D68" i="9"/>
  <c r="I69" i="9"/>
  <c r="D74" i="9"/>
  <c r="G75" i="9"/>
  <c r="E77" i="9"/>
  <c r="H78" i="9"/>
  <c r="E83" i="9"/>
  <c r="G85" i="9"/>
  <c r="G87" i="9"/>
  <c r="F65" i="9"/>
  <c r="I66" i="9"/>
  <c r="F68" i="9"/>
  <c r="E74" i="9"/>
  <c r="I75" i="9"/>
  <c r="F77" i="9"/>
  <c r="I78" i="9"/>
  <c r="G83" i="9"/>
  <c r="M18" i="3"/>
  <c r="N27" i="3"/>
  <c r="L37" i="3"/>
  <c r="L47" i="3"/>
  <c r="B10" i="5"/>
  <c r="B11" i="5" s="1"/>
  <c r="B12" i="6"/>
  <c r="B17" i="6" s="1"/>
  <c r="E64" i="9"/>
  <c r="H65" i="9"/>
  <c r="E67" i="9"/>
  <c r="I68" i="9"/>
  <c r="E76" i="9"/>
  <c r="D82" i="9"/>
  <c r="E84" i="9"/>
  <c r="I65" i="9"/>
  <c r="I77" i="9"/>
  <c r="G86" i="9"/>
  <c r="D85" i="9"/>
  <c r="F83" i="9"/>
  <c r="C82" i="9"/>
  <c r="C78" i="9"/>
  <c r="I76" i="9"/>
  <c r="H75" i="9"/>
  <c r="G74" i="9"/>
  <c r="F73" i="9"/>
  <c r="F69" i="9"/>
  <c r="E68" i="9"/>
  <c r="D67" i="9"/>
  <c r="C66" i="9"/>
  <c r="I64" i="9"/>
  <c r="D87" i="9"/>
  <c r="F85" i="9"/>
  <c r="C84" i="9"/>
  <c r="E82" i="9"/>
  <c r="E78" i="9"/>
  <c r="D77" i="9"/>
  <c r="C76" i="9"/>
  <c r="I74" i="9"/>
  <c r="H73" i="9"/>
  <c r="H69" i="9"/>
  <c r="G68" i="9"/>
  <c r="F67" i="9"/>
  <c r="E66" i="9"/>
  <c r="D65" i="9"/>
  <c r="C64" i="9"/>
  <c r="D64" i="9"/>
  <c r="G65" i="9"/>
  <c r="C67" i="9"/>
  <c r="H68" i="9"/>
  <c r="C73" i="9"/>
  <c r="F74" i="9"/>
  <c r="D76" i="9"/>
  <c r="G77" i="9"/>
  <c r="D84" i="9"/>
  <c r="D86" i="9"/>
  <c r="F107" i="2"/>
  <c r="W12" i="10"/>
  <c r="L21" i="3"/>
  <c r="M30" i="3"/>
  <c r="N37" i="3"/>
  <c r="N47" i="3"/>
  <c r="B24" i="6"/>
  <c r="B29" i="6" s="1"/>
  <c r="B36" i="6" s="1"/>
  <c r="C14" i="5" l="1"/>
  <c r="X7" i="10"/>
  <c r="D9" i="5"/>
  <c r="E30" i="5"/>
  <c r="D30" i="5"/>
  <c r="C30" i="5"/>
  <c r="X13" i="10"/>
  <c r="Z13" i="10"/>
  <c r="Y13" i="10"/>
  <c r="E22" i="7"/>
  <c r="D22" i="7"/>
  <c r="C22" i="7"/>
  <c r="C15" i="4"/>
  <c r="E15" i="4"/>
  <c r="D15" i="4"/>
  <c r="B49" i="9"/>
  <c r="B47" i="9"/>
  <c r="X14" i="10"/>
  <c r="Z14" i="10"/>
  <c r="Y14" i="10"/>
  <c r="Z12" i="10"/>
  <c r="Y12" i="10"/>
  <c r="X12" i="10"/>
  <c r="C18" i="7"/>
  <c r="C19" i="7" s="1"/>
  <c r="C8" i="4"/>
  <c r="C10" i="4" s="1"/>
  <c r="E23" i="7"/>
  <c r="D23" i="7"/>
  <c r="C19" i="4"/>
  <c r="C23" i="6" s="1"/>
  <c r="E16" i="4"/>
  <c r="C16" i="4"/>
  <c r="E19" i="4"/>
  <c r="E23" i="6" s="1"/>
  <c r="C23" i="7"/>
  <c r="D16" i="4"/>
  <c r="D19" i="4"/>
  <c r="D23" i="6" s="1"/>
  <c r="E18" i="7"/>
  <c r="E19" i="7" s="1"/>
  <c r="E8" i="4"/>
  <c r="E24" i="7"/>
  <c r="D24" i="7"/>
  <c r="E24" i="4"/>
  <c r="C24" i="7"/>
  <c r="D24" i="4"/>
  <c r="C24" i="4"/>
  <c r="B38" i="6"/>
  <c r="D18" i="7"/>
  <c r="D19" i="7" s="1"/>
  <c r="D8" i="4"/>
  <c r="X6" i="10"/>
  <c r="C13" i="5"/>
  <c r="C15" i="5" s="1"/>
  <c r="C19" i="5" s="1"/>
  <c r="C10" i="5"/>
  <c r="D8" i="5"/>
  <c r="C25" i="7" l="1"/>
  <c r="C17" i="4"/>
  <c r="D25" i="7"/>
  <c r="Y7" i="10"/>
  <c r="E9" i="5"/>
  <c r="D11" i="5"/>
  <c r="D14" i="5"/>
  <c r="Y6" i="10"/>
  <c r="E8" i="5"/>
  <c r="D13" i="5"/>
  <c r="D10" i="5"/>
  <c r="C14" i="6"/>
  <c r="D7" i="4"/>
  <c r="E25" i="7"/>
  <c r="B53" i="9"/>
  <c r="B50" i="9"/>
  <c r="X8" i="10"/>
  <c r="C18" i="5"/>
  <c r="C10" i="6"/>
  <c r="C20" i="6"/>
  <c r="C11" i="5"/>
  <c r="B54" i="9" l="1"/>
  <c r="B55" i="9"/>
  <c r="E14" i="5"/>
  <c r="Z7" i="10"/>
  <c r="E11" i="5"/>
  <c r="D15" i="5"/>
  <c r="D19" i="5" s="1"/>
  <c r="D9" i="4"/>
  <c r="D11" i="4" s="1"/>
  <c r="D8" i="7" s="1"/>
  <c r="C12" i="7"/>
  <c r="C11" i="7"/>
  <c r="Y8" i="10"/>
  <c r="D18" i="5"/>
  <c r="C9" i="7"/>
  <c r="C21" i="6"/>
  <c r="C13" i="7" s="1"/>
  <c r="C24" i="5"/>
  <c r="C25" i="4"/>
  <c r="C26" i="4" s="1"/>
  <c r="C9" i="6"/>
  <c r="C11" i="6"/>
  <c r="C23" i="5"/>
  <c r="C20" i="5"/>
  <c r="C20" i="4"/>
  <c r="C26" i="6" s="1"/>
  <c r="D14" i="4"/>
  <c r="A8" i="10"/>
  <c r="A9" i="10"/>
  <c r="Z6" i="10"/>
  <c r="E10" i="5"/>
  <c r="E13" i="5"/>
  <c r="E15" i="5" l="1"/>
  <c r="E19" i="5" s="1"/>
  <c r="C25" i="5"/>
  <c r="D18" i="4"/>
  <c r="D29" i="5" s="1"/>
  <c r="D17" i="4"/>
  <c r="E20" i="6"/>
  <c r="E10" i="6"/>
  <c r="D14" i="7"/>
  <c r="C14" i="7"/>
  <c r="D10" i="4"/>
  <c r="D10" i="6"/>
  <c r="D20" i="6"/>
  <c r="Z8" i="10"/>
  <c r="E18" i="5"/>
  <c r="C10" i="7"/>
  <c r="C21" i="5"/>
  <c r="C26" i="5"/>
  <c r="D23" i="4"/>
  <c r="C39" i="5"/>
  <c r="C24" i="6"/>
  <c r="C29" i="6" s="1"/>
  <c r="B59" i="9"/>
  <c r="B56" i="9"/>
  <c r="B63" i="9" s="1"/>
  <c r="D21" i="6"/>
  <c r="D13" i="7" s="1"/>
  <c r="D24" i="5"/>
  <c r="D20" i="5"/>
  <c r="D9" i="7"/>
  <c r="D11" i="6"/>
  <c r="D23" i="5"/>
  <c r="D25" i="4"/>
  <c r="D9" i="6"/>
  <c r="D26" i="4" l="1"/>
  <c r="E11" i="7"/>
  <c r="D11" i="7"/>
  <c r="C42" i="5"/>
  <c r="X9" i="10"/>
  <c r="C27" i="5"/>
  <c r="X10" i="10" s="1"/>
  <c r="C31" i="5"/>
  <c r="E23" i="4"/>
  <c r="E26" i="4" s="1"/>
  <c r="E39" i="5" s="1"/>
  <c r="D39" i="5"/>
  <c r="B81" i="9"/>
  <c r="B72" i="9"/>
  <c r="E11" i="6"/>
  <c r="E9" i="6"/>
  <c r="E23" i="5"/>
  <c r="E25" i="5" s="1"/>
  <c r="E25" i="4"/>
  <c r="E9" i="7"/>
  <c r="E21" i="6"/>
  <c r="E13" i="7" s="1"/>
  <c r="E24" i="5"/>
  <c r="E20" i="5"/>
  <c r="E12" i="7"/>
  <c r="E10" i="7"/>
  <c r="D10" i="7"/>
  <c r="E14" i="4"/>
  <c r="D20" i="4"/>
  <c r="D26" i="6" s="1"/>
  <c r="D21" i="5"/>
  <c r="E7" i="4"/>
  <c r="D14" i="6"/>
  <c r="D25" i="5"/>
  <c r="D26" i="5" s="1"/>
  <c r="E14" i="7"/>
  <c r="D12" i="7"/>
  <c r="D24" i="6"/>
  <c r="D29" i="6" l="1"/>
  <c r="C32" i="5"/>
  <c r="C33" i="5" s="1"/>
  <c r="G8" i="10"/>
  <c r="G9" i="10"/>
  <c r="E9" i="4"/>
  <c r="E11" i="4" s="1"/>
  <c r="E8" i="7" s="1"/>
  <c r="E10" i="4"/>
  <c r="E14" i="6" s="1"/>
  <c r="D9" i="10"/>
  <c r="D8" i="10"/>
  <c r="E17" i="4"/>
  <c r="E20" i="4" s="1"/>
  <c r="E26" i="6" s="1"/>
  <c r="E18" i="4"/>
  <c r="E29" i="5" s="1"/>
  <c r="Y9" i="10"/>
  <c r="D42" i="5"/>
  <c r="E24" i="6"/>
  <c r="E21" i="5"/>
  <c r="E26" i="5"/>
  <c r="D31" i="5"/>
  <c r="D27" i="5"/>
  <c r="Y10" i="10" s="1"/>
  <c r="E29" i="6" l="1"/>
  <c r="C7" i="7"/>
  <c r="C34" i="5"/>
  <c r="C33" i="6" s="1"/>
  <c r="D32" i="5"/>
  <c r="D33" i="5" s="1"/>
  <c r="E31" i="5"/>
  <c r="E27" i="5"/>
  <c r="Z10" i="10" s="1"/>
  <c r="Z9" i="10"/>
  <c r="E42" i="5"/>
  <c r="D34" i="5" l="1"/>
  <c r="D35" i="5" s="1"/>
  <c r="D7" i="7"/>
  <c r="E32" i="5"/>
  <c r="E33" i="5" s="1"/>
  <c r="C35" i="5"/>
  <c r="C49" i="10"/>
  <c r="C15" i="7"/>
  <c r="E7" i="7" l="1"/>
  <c r="E34" i="5"/>
  <c r="E35" i="5" s="1"/>
  <c r="Y15" i="10"/>
  <c r="D36" i="5"/>
  <c r="Y11" i="10" s="1"/>
  <c r="D38" i="5"/>
  <c r="Y16" i="10" s="1"/>
  <c r="X15" i="10"/>
  <c r="C38" i="5"/>
  <c r="X16" i="10" s="1"/>
  <c r="C36" i="5"/>
  <c r="X11" i="10" s="1"/>
  <c r="C32" i="6"/>
  <c r="D49" i="10"/>
  <c r="D15" i="7"/>
  <c r="D33" i="6"/>
  <c r="E33" i="6" s="1"/>
  <c r="C28" i="7"/>
  <c r="C30" i="7" s="1"/>
  <c r="C32" i="7"/>
  <c r="X17" i="10" s="1"/>
  <c r="Z15" i="10" l="1"/>
  <c r="E38" i="5"/>
  <c r="Z16" i="10" s="1"/>
  <c r="E36" i="5"/>
  <c r="Z11" i="10" s="1"/>
  <c r="A12" i="10"/>
  <c r="A13" i="10"/>
  <c r="D12" i="10"/>
  <c r="D13" i="10"/>
  <c r="C35" i="7"/>
  <c r="D29" i="7"/>
  <c r="C7" i="6"/>
  <c r="C12" i="6" s="1"/>
  <c r="C17" i="6" s="1"/>
  <c r="D28" i="7"/>
  <c r="D32" i="7"/>
  <c r="Y17" i="10" s="1"/>
  <c r="G13" i="10"/>
  <c r="G12" i="10"/>
  <c r="D32" i="6"/>
  <c r="C34" i="6"/>
  <c r="C36" i="6" s="1"/>
  <c r="E49" i="10"/>
  <c r="E15" i="7"/>
  <c r="C48" i="10" l="1"/>
  <c r="C39" i="1"/>
  <c r="D34" i="6"/>
  <c r="D36" i="6" s="1"/>
  <c r="E32" i="6"/>
  <c r="E34" i="6" s="1"/>
  <c r="E36" i="6" s="1"/>
  <c r="E32" i="7"/>
  <c r="Z17" i="10" s="1"/>
  <c r="E28" i="7"/>
  <c r="C38" i="6"/>
  <c r="D30" i="7"/>
  <c r="E29" i="7" l="1"/>
  <c r="E30" i="7" s="1"/>
  <c r="D7" i="6"/>
  <c r="D12" i="6" s="1"/>
  <c r="D17" i="6" s="1"/>
  <c r="D38" i="6" s="1"/>
  <c r="C50" i="10"/>
  <c r="C47" i="10"/>
  <c r="C38" i="1"/>
  <c r="D50" i="10" l="1"/>
  <c r="D47" i="10"/>
  <c r="D38" i="1"/>
  <c r="E35" i="7"/>
  <c r="E7" i="6"/>
  <c r="E12" i="6" s="1"/>
  <c r="E17" i="6" s="1"/>
  <c r="E38" i="6" s="1"/>
  <c r="D35" i="7"/>
  <c r="E48" i="10" l="1"/>
  <c r="E39" i="1"/>
  <c r="D48" i="10"/>
  <c r="D39" i="1"/>
  <c r="E50" i="10"/>
  <c r="E47" i="10"/>
  <c r="E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FP&amp;A Model</author>
  </authors>
  <commentList>
    <comment ref="B38" authorId="0" shapeId="0" xr:uid="{00000000-0006-0000-0800-000001000000}">
      <text>
        <r>
          <rPr>
            <sz val="11"/>
            <color theme="1"/>
            <rFont val="Calibri"/>
            <family val="2"/>
            <charset val="1"/>
          </rPr>
          <t>Sensitivity knob: a single BLENDED revenue-growth % applied to the combined FY2024 base (Wholesale 5,100,500 + DTC 3,868,900 = 8,969,400). The live model uses an 8%/10% Wholesale/DTC split; for a two-variable sensitivity grid a single blended growth knob is the standard simplification. At 9% blended, Total Revenue = 8,969,400 x 1.09 = 9,776,646, materially consistent with the live model's 9,764,330.</t>
        </r>
      </text>
    </comment>
    <comment ref="B59" authorId="0" shapeId="0" xr:uid="{00000000-0006-0000-0800-000002000000}">
      <text>
        <r>
          <rPr>
            <sz val="11"/>
            <color theme="1"/>
            <rFont val="Calibri"/>
            <family val="2"/>
            <charset val="1"/>
          </rPr>
          <t>FCF (pre-working-capital) = Net Earnings (incl. NCI) + D&amp;A + SBC - CapEx. A two-variable sensitivity table varies two drivers and holds all else fixed; working-capital swings (DSO/DIO/DPO) are not among the varied drivers, so they are excluded to isolate the sensitivity to the two knobs. The Scenario Recap above carries the model's full FCF (Base 343,841). Pre-WC Base here = ~459,597.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FP&amp;A Model</author>
  </authors>
  <commentList>
    <comment ref="R17" authorId="0" shapeId="0" xr:uid="{00000000-0006-0000-0900-000001000000}">
      <text>
        <r>
          <rPr>
            <sz val="11"/>
            <color theme="1"/>
            <rFont val="Calibri"/>
            <family val="2"/>
            <charset val="1"/>
          </rPr>
          <t>FCF bridge note: openpyxl cannot render a true waterfall. Chart 4 shows a 2-bar FY2024-&gt;FY2025E comparison (W17:X17). A true bridge would decompose the change into d-OCF and d-CapEx; the 2-bar version is the openpyxl-stable simplification. FY2024 FCF = Historical row 101 (which is in $M) x 1000.</t>
        </r>
      </text>
    </comment>
  </commentList>
</comments>
</file>

<file path=xl/sharedStrings.xml><?xml version="1.0" encoding="utf-8"?>
<sst xmlns="http://schemas.openxmlformats.org/spreadsheetml/2006/main" count="594" uniqueCount="366">
  <si>
    <t>Skechers U.S.A., Inc. (SKX)</t>
  </si>
  <si>
    <t>Scenario Analysis — Switching Recap &amp; Sensitivity Tables</t>
  </si>
  <si>
    <t>Two-variable sensitivity on FY2025 outputs | All figures $000s unless noted</t>
  </si>
  <si>
    <t>SCENARIO COMPARISON — FY2025 OUTPUTS</t>
  </si>
  <si>
    <t>Output (FY2025)</t>
  </si>
  <si>
    <t>Bear</t>
  </si>
  <si>
    <t>Base</t>
  </si>
  <si>
    <t>Bull</t>
  </si>
  <si>
    <t>Total Revenue</t>
  </si>
  <si>
    <t>Gross Margin %</t>
  </si>
  <si>
    <t>Operating Margin %</t>
  </si>
  <si>
    <t>Net Earnings (SKX)</t>
  </si>
  <si>
    <t>Diluted EPS</t>
  </si>
  <si>
    <t>Free Cash Flow</t>
  </si>
  <si>
    <t>Ending Cash</t>
  </si>
  <si>
    <t>Recap values are snapshots of the live model under each scenario setting. To reproduce, set the Assumptions tab dropdown (cell B5) to Bear / Base / Bull and read the forecast tabs. Base column ties to the live model; Bear/Bull are captured here because the model displays one scenario at a time. Bear/Bull cells are blue inputs you can overwrite with exact figures.</t>
  </si>
  <si>
    <t>SENSITIVITY ENGINE — FY2025 MINI-MODEL (drives the tables below)</t>
  </si>
  <si>
    <t>BASE CONSTANTS</t>
  </si>
  <si>
    <t>Prior-Yr Wholesale Revenue (FY24)</t>
  </si>
  <si>
    <t>Prior-Yr DTC Revenue (FY24)</t>
  </si>
  <si>
    <t>Prior-Yr PP&amp;E (for D&amp;A)</t>
  </si>
  <si>
    <t>Beginning Debt FY2025 (curr+LT)</t>
  </si>
  <si>
    <t>Interest Rate</t>
  </si>
  <si>
    <t>Other Income/(Expense)</t>
  </si>
  <si>
    <t>NCI %</t>
  </si>
  <si>
    <t>SBC % of Revenue</t>
  </si>
  <si>
    <t>D&amp;A Rate (x prior PP&amp;E)</t>
  </si>
  <si>
    <t>Tax Rate</t>
  </si>
  <si>
    <t>Prior Total Revenue (WH+DTC)</t>
  </si>
  <si>
    <t>Interest Expense (Beg Debt x Rate)</t>
  </si>
  <si>
    <t>D&amp;A (Rate x Prior PP&amp;E)</t>
  </si>
  <si>
    <t>DRIVER KNOBS (Base)</t>
  </si>
  <si>
    <t>Revenue Growth (blended)</t>
  </si>
  <si>
    <t>Gross Margin (blended)</t>
  </si>
  <si>
    <t>OpEx % (Selling + G&amp;A)</t>
  </si>
  <si>
    <t>CapEx</t>
  </si>
  <si>
    <t>OUTPUTS (FY2025, Base knobs)</t>
  </si>
  <si>
    <t>COGS</t>
  </si>
  <si>
    <t>Gross Profit</t>
  </si>
  <si>
    <t>Operating Expenses</t>
  </si>
  <si>
    <t>EBIT</t>
  </si>
  <si>
    <t>Interest Expense</t>
  </si>
  <si>
    <t>EBT</t>
  </si>
  <si>
    <t>Tax</t>
  </si>
  <si>
    <t>Net Earnings (incl. NCI)</t>
  </si>
  <si>
    <t>D&amp;A</t>
  </si>
  <si>
    <t>SBC</t>
  </si>
  <si>
    <t>FCF (pre-WC)</t>
  </si>
  <si>
    <t>TABLE 1 — Net Earnings (SKX) sensitivity: Revenue Growth (rows) × Gross Margin (cols), $000s</t>
  </si>
  <si>
    <t>Rows: Rev Growth  |  Cols: Gross Margin</t>
  </si>
  <si>
    <t>TABLE 2 — FCF (pre-WC) sensitivity: Revenue Growth (rows) × OpEx % (cols), $000s</t>
  </si>
  <si>
    <t>Rows: Rev Growth  |  Cols: OpEx %</t>
  </si>
  <si>
    <t>TABLE 3 — FCF (pre-WC) sensitivity: Revenue Growth (rows) × CapEx (cols), $000s</t>
  </si>
  <si>
    <t>Rows: Rev Growth  |  Cols: CapEx</t>
  </si>
  <si>
    <t>README — Skechers FP&amp;A Model</t>
  </si>
  <si>
    <t>3-Statement Financial Model  ·  FY2020–FY2024 Actuals + FY2025–FY2027 Forecast  ·  All figures $000s unless noted</t>
  </si>
  <si>
    <t>Jonathan Nadeau</t>
  </si>
  <si>
    <t>1.  WHAT THIS MODEL IS</t>
  </si>
  <si>
    <t>This is a complete 3-statement financial model for Skechers U.S.A., Inc. (SKX), covering five years of historical results (FY2020–FY2024) and a three-year forecast (FY2025–FY2027). The central thesis is channel mix shift: Direct-to-Consumer revenue grew from 38.5% of total in FY2020 to 43.1% in FY2024, and because DTC carries roughly 66% gross margin versus 40–43% in Wholesale, the forecast extends that mix (43.6% → 44.5%) and the resulting blended-margin expansion. The base case produces FY2025 revenue of ~$9.76B, operating margin ~10.4%, diluted EPS ~$4.40, and ending cash of $1,060,357 ($000s).</t>
  </si>
  <si>
    <t>2.  HOW TO READ IT — MODEL MAP</t>
  </si>
  <si>
    <t>Tab</t>
  </si>
  <si>
    <t>Description</t>
  </si>
  <si>
    <t>Historical Financials</t>
  </si>
  <si>
    <t>FY2020–24 IS/BS/CF + segment detail and derived working-capital metrics; balance checks tie to zero.</t>
  </si>
  <si>
    <t>Assumptions</t>
  </si>
  <si>
    <t>Bear/Base/Bull driver sets side-by-side; the Active block is selected via a dropdown (CHOOSE/MATCH).</t>
  </si>
  <si>
    <t>Supporting Schedules</t>
  </si>
  <si>
    <t>PP&amp;E/D&amp;A, debt, and shares rollforwards feeding the forecast statements.</t>
  </si>
  <si>
    <t>Income Statement Forecast</t>
  </si>
  <si>
    <t>Segment-level (Wholesale/DTC) revenue &amp; COGS build → consolidated income statement.</t>
  </si>
  <si>
    <t>Balance Sheet Forecast</t>
  </si>
  <si>
    <t>Working capital from DSO/DIO/DPO; PP&amp;E and debt from schedules; equity rollforward.</t>
  </si>
  <si>
    <t>Cash Flow Forecast</t>
  </si>
  <si>
    <t>Indirect method; ending cash flows back into the balance sheet for a genuine tie.</t>
  </si>
  <si>
    <t>Variance Analysis</t>
  </si>
  <si>
    <t>FY2024 guidance-calibrated budget vs. actuals; $ and % variances with commentary.</t>
  </si>
  <si>
    <t>Scenario Analysis</t>
  </si>
  <si>
    <t>Bear/Base/Bull recap + self-contained FY2025 mini-model and sensitivity grids.</t>
  </si>
  <si>
    <t>KPI Dashboard</t>
  </si>
  <si>
    <t>Year-selectable scorecard (6 KPIs), 5 charts, and live model-integrity PASS/FAIL table.</t>
  </si>
  <si>
    <t>README</t>
  </si>
  <si>
    <t>This page.</t>
  </si>
  <si>
    <t>3.  COLOR LEGEND</t>
  </si>
  <si>
    <t>Blue text</t>
  </si>
  <si>
    <t>Hardcoded input (driver value the user can change).</t>
  </si>
  <si>
    <t>Black text</t>
  </si>
  <si>
    <t>Formula / calculation (derived from inputs and other cells).</t>
  </si>
  <si>
    <t>Green text</t>
  </si>
  <si>
    <t>Link to another sheet in this workbook.</t>
  </si>
  <si>
    <t>Yellow fill</t>
  </si>
  <si>
    <t>Selector cell to change — scenario on Assumptions!B5, forecast year on KPI Dashboard!B5.</t>
  </si>
  <si>
    <t>4.  DATA SOURCES</t>
  </si>
  <si>
    <t>SEC EDGAR 10-K filings (FY2020–FY2024) and Skechers' February 2025 forward guidance.</t>
  </si>
  <si>
    <t>5.  KEY DESIGN NOTES</t>
  </si>
  <si>
    <t>•  No circular reference: interest is computed on beginning-of-period debt — a documented industry-standard simplification that breaks the interest → net income → cash → debt → interest loop.</t>
  </si>
  <si>
    <t>•  Genuine 3-statement tie: cash was first built as a temporary balancing plug on the balance sheet, the cash flow statement was built independently from the income statement and working-capital deltas, and ending cash was then swapped in — so the balance check is a real integrity test, not a forced zero.</t>
  </si>
  <si>
    <t>•  Scenario &amp; year switching: =CHOOSE() and MATCH() drive the Active assumption set (Bear/Base/Bull via Assumptions!B5) and the Dashboard year scorecard (FY2025–FY2027 via Dashboard!B5).</t>
  </si>
  <si>
    <t>6.  LIVE INTEGRITY STATUS</t>
  </si>
  <si>
    <t>Check</t>
  </si>
  <si>
    <t>FY2025</t>
  </si>
  <si>
    <t>FY2026</t>
  </si>
  <si>
    <t>FY2027</t>
  </si>
  <si>
    <t>Balance Sheet  (Assets  =  Liabilities + Equity)</t>
  </si>
  <si>
    <t>Cash Flow tie  (CF ending cash  =  BS cash)</t>
  </si>
  <si>
    <t>Live check — reads the model directly via named ranges; PASS = tie within $1K rounding.</t>
  </si>
  <si>
    <t>7.  LIMITATIONS &amp; CAVEATS</t>
  </si>
  <si>
    <t>•  Public data only — built from SEC 10-K filings and the company's February 2025 forward guidance; no non-public diligence.</t>
  </si>
  <si>
    <t>•  FY2021 includes a one-time tax benefit of ~$347M, which depresses comparability of effective tax rate and net income against surrounding years.</t>
  </si>
  <si>
    <t>•  3G Capital took Skechers private in September 2025 ($9.4B / $63 per share). The model basis is public data through FY2024 plus Feb-2025 guidance; the acquisition does not affect the model's validity as a portfolio piece.</t>
  </si>
  <si>
    <t>•  Forecast is for analytical illustration; not investment advice.</t>
  </si>
  <si>
    <t>Historical Financials — FY2020–FY2024</t>
  </si>
  <si>
    <t>Source: 10-K filings, SEC EDGAR | All figures in $000s unless noted</t>
  </si>
  <si>
    <t>FY2020</t>
  </si>
  <si>
    <t>FY2021</t>
  </si>
  <si>
    <t>FY2022</t>
  </si>
  <si>
    <t>FY2023</t>
  </si>
  <si>
    <t>FY2024</t>
  </si>
  <si>
    <t>Source</t>
  </si>
  <si>
    <t>CONSOLIDATED INCOME STATEMENT ($000s)</t>
  </si>
  <si>
    <t>Sales</t>
  </si>
  <si>
    <t>10-K</t>
  </si>
  <si>
    <t>Cost of Sales</t>
  </si>
  <si>
    <t>Calc</t>
  </si>
  <si>
    <t>Selling Expenses</t>
  </si>
  <si>
    <t>General &amp; Administrative</t>
  </si>
  <si>
    <t>Total Operating Expenses</t>
  </si>
  <si>
    <t>Earnings from Operations</t>
  </si>
  <si>
    <t>Earnings Before Tax</t>
  </si>
  <si>
    <t>Income Tax Expense/(Benefit)</t>
  </si>
  <si>
    <t>Effective Tax Rate %</t>
  </si>
  <si>
    <t>Net Earnings</t>
  </si>
  <si>
    <t>Less: NCI</t>
  </si>
  <si>
    <t>Net Earnings Attributable to SKX</t>
  </si>
  <si>
    <t>Net Margin %</t>
  </si>
  <si>
    <t>Diluted Shares Outstanding (M)</t>
  </si>
  <si>
    <t>Selling % of Revenue</t>
  </si>
  <si>
    <t>G&amp;A % of Revenue</t>
  </si>
  <si>
    <t>Revenue Growth % YoY</t>
  </si>
  <si>
    <t>—</t>
  </si>
  <si>
    <t>SEGMENT REVENUE &amp; GROSS MARGINS</t>
  </si>
  <si>
    <t>Wholesale Revenue ($000s)</t>
  </si>
  <si>
    <t>Wholesale Growth % YoY</t>
  </si>
  <si>
    <t>Wholesale Gross Margin %</t>
  </si>
  <si>
    <t>DTC Revenue ($000s)</t>
  </si>
  <si>
    <t>DTC Growth % YoY</t>
  </si>
  <si>
    <t>DTC Gross Margin %</t>
  </si>
  <si>
    <t>DTC Mix % of Total Revenue</t>
  </si>
  <si>
    <t>CONSOLIDATED BALANCE SHEET ($000s, Dec 31)</t>
  </si>
  <si>
    <t>Cash &amp; Equivalents</t>
  </si>
  <si>
    <t>Short-term Investments</t>
  </si>
  <si>
    <t>Trade Accounts Receivable</t>
  </si>
  <si>
    <t>Inventory</t>
  </si>
  <si>
    <t>Other Current Assets</t>
  </si>
  <si>
    <t>Total Current Assets</t>
  </si>
  <si>
    <t>PP&amp;E, net</t>
  </si>
  <si>
    <t>Right-of-Use Assets</t>
  </si>
  <si>
    <t>Other Non-Current Assets</t>
  </si>
  <si>
    <t>Total Assets</t>
  </si>
  <si>
    <t>Accounts Payable</t>
  </si>
  <si>
    <t>Accrued Expenses</t>
  </si>
  <si>
    <t>Current Lease Liabilities</t>
  </si>
  <si>
    <t>Current Portion of Debt</t>
  </si>
  <si>
    <t>Total Current Liabilities</t>
  </si>
  <si>
    <t>Long-term Debt</t>
  </si>
  <si>
    <t>Long-term Lease Liabilities</t>
  </si>
  <si>
    <t>Other LT Liabilities</t>
  </si>
  <si>
    <t>Total Liabilities</t>
  </si>
  <si>
    <t>Retained Earnings</t>
  </si>
  <si>
    <t>Total Equity (incl. NCI)</t>
  </si>
  <si>
    <t>Total Liabilities + Equity</t>
  </si>
  <si>
    <t>Balance Check (Assets - L+E)</t>
  </si>
  <si>
    <t>CONSOLIDATED CASH FLOW STATEMENT ($M)</t>
  </si>
  <si>
    <t>Net Income (SKX)</t>
  </si>
  <si>
    <t>Depreciation &amp; Amortization</t>
  </si>
  <si>
    <t>Stock-Based Compensation</t>
  </si>
  <si>
    <t>Other Operating Adjustments</t>
  </si>
  <si>
    <t>Change in Accounts Receivable</t>
  </si>
  <si>
    <t>Change in Inventory</t>
  </si>
  <si>
    <t>Change in Accounts Payable</t>
  </si>
  <si>
    <t>Other Working Capital Changes</t>
  </si>
  <si>
    <t>Operating Cash Flow</t>
  </si>
  <si>
    <t>Capital Expenditures</t>
  </si>
  <si>
    <t>Other Investing Activities</t>
  </si>
  <si>
    <t>Investing Cash Flow</t>
  </si>
  <si>
    <t>Debt Issued</t>
  </si>
  <si>
    <t>Debt Repaid</t>
  </si>
  <si>
    <t>Share Repurchases</t>
  </si>
  <si>
    <t>Other Financing Activities</t>
  </si>
  <si>
    <t>Financing Cash Flow</t>
  </si>
  <si>
    <t>FX Adjustments</t>
  </si>
  <si>
    <t>Net Change in Cash</t>
  </si>
  <si>
    <t>DERIVED METRICS &amp; WORKING CAPITAL ANALYSIS</t>
  </si>
  <si>
    <t>Days Sales Outstanding (DSO)</t>
  </si>
  <si>
    <t>Days Inventory Outstanding (DIO)</t>
  </si>
  <si>
    <t>Days Payable Outstanding (DPO)</t>
  </si>
  <si>
    <t>Cash Conversion Cycle (CCC)</t>
  </si>
  <si>
    <t>CapEx as % of Revenue</t>
  </si>
  <si>
    <t>D&amp;A as % of Prior Year PP&amp;E</t>
  </si>
  <si>
    <t>Total Debt ($000s)</t>
  </si>
  <si>
    <t>NCI as % of Net Earnings</t>
  </si>
  <si>
    <t>SBC as % of Revenue</t>
  </si>
  <si>
    <t>NOTES</t>
  </si>
  <si>
    <t>FY2021 income tax of ($245,875K) reflects a $346.8M tax benefit from an intra-entity IP transfer.</t>
  </si>
  <si>
    <t>Cash Flow Statement is in $M; all other sections are in $000s.</t>
  </si>
  <si>
    <t>Balance Sheet uses exact 10-K XBRL figures. "Other Current Assets" and "Other LT Liabilities" derived as residuals.</t>
  </si>
  <si>
    <t>All data verified against XBRL instance documents from SEC EDGAR 10-K filings (FY2020-FY2024).</t>
  </si>
  <si>
    <t>Forecast Assumptions — FY2025–FY2027</t>
  </si>
  <si>
    <t>Blue/yellow = editable input · Black = formula · Green = link to another sheet · All $ in $000s</t>
  </si>
  <si>
    <t>Scenario:</t>
  </si>
  <si>
    <t>Scenario Index:</t>
  </si>
  <si>
    <t>KEY:</t>
  </si>
  <si>
    <t>Editable input</t>
  </si>
  <si>
    <t>Formula (calculated)</t>
  </si>
  <si>
    <t>Link to another sheet</t>
  </si>
  <si>
    <t>ACTIVE (live scenario)</t>
  </si>
  <si>
    <t>ASSUMPTION</t>
  </si>
  <si>
    <t>A.  REVENUE GROWTH (% YoY)</t>
  </si>
  <si>
    <t>Wholesale Revenue Growth % YoY</t>
  </si>
  <si>
    <t>DTC Revenue Growth % YoY</t>
  </si>
  <si>
    <t>B.  GROSS MARGINS (%)</t>
  </si>
  <si>
    <t>C.  OPERATING EXPENSES (% of revenue)</t>
  </si>
  <si>
    <t>Selling Expense % of Revenue</t>
  </si>
  <si>
    <t>D.  TAX &amp; BELOW-THE-LINE</t>
  </si>
  <si>
    <t>Other Income/(Expense) ($000s)</t>
  </si>
  <si>
    <t>NCI % of Net Earnings</t>
  </si>
  <si>
    <t>E.  WORKING CAPITAL (days &amp; %)</t>
  </si>
  <si>
    <t>Accrued Expenses % of Revenue</t>
  </si>
  <si>
    <t>Other Current Assets % of Revenue</t>
  </si>
  <si>
    <t>F.  CAPEX &amp; DEPRECIATION</t>
  </si>
  <si>
    <t>Capital Expenditures ($000s)</t>
  </si>
  <si>
    <t>D&amp;A as % of Prior-Year PP&amp;E</t>
  </si>
  <si>
    <t>G.  DEBT SCHEDULE INPUTS</t>
  </si>
  <si>
    <t>New Borrowings ($000s)</t>
  </si>
  <si>
    <t>Scheduled Repayments ($000s)</t>
  </si>
  <si>
    <t>Weighted-Avg Interest Rate on Debt</t>
  </si>
  <si>
    <t>H.  SHARES &amp; BUYBACK</t>
  </si>
  <si>
    <t>Beginning Diluted Shares (M) — FY2025 beginning balance</t>
  </si>
  <si>
    <t>Share Repurchases ($000s)</t>
  </si>
  <si>
    <t>Assumed Avg Repurchase Price ($/share)</t>
  </si>
  <si>
    <t>Supporting Schedules — PP&amp;E / Debt / Shares</t>
  </si>
  <si>
    <t>Feeds the forecast IS / BS / CF · Black = formula · Green = link to another sheet · $ in $000s, shares in millions</t>
  </si>
  <si>
    <t>($000s; shares in M)</t>
  </si>
  <si>
    <t>FY2025E</t>
  </si>
  <si>
    <t>FY2026E</t>
  </si>
  <si>
    <t>FY2027E</t>
  </si>
  <si>
    <t>A.  PP&amp;E / D&amp;A ROLLFORWARD ($000s)</t>
  </si>
  <si>
    <t>Beginning PP&amp;E, net</t>
  </si>
  <si>
    <t>(+) Capital Expenditures</t>
  </si>
  <si>
    <t>(−) Depreciation &amp; Amortization</t>
  </si>
  <si>
    <t>(=) Ending PP&amp;E, net</t>
  </si>
  <si>
    <t>D&amp;A (positive, for CF add-back)</t>
  </si>
  <si>
    <t>B.  DEBT SCHEDULE ($000s)</t>
  </si>
  <si>
    <t>Beginning Debt Balance</t>
  </si>
  <si>
    <t>(+) New Borrowings</t>
  </si>
  <si>
    <t>(−) Scheduled Repayments</t>
  </si>
  <si>
    <t>(=) Ending Debt Balance</t>
  </si>
  <si>
    <t>Interest Expense (on beginning balance)</t>
  </si>
  <si>
    <t>Calculated on beginning-of-period debt to avoid circular reference (interest→NI→cash→debt→interest). Industry-standard for planning models.</t>
  </si>
  <si>
    <t>Current Portion (next-yr repayment)</t>
  </si>
  <si>
    <t>Long-term Portion</t>
  </si>
  <si>
    <t>C.  SHARES OUTSTANDING SCHEDULE (millions)</t>
  </si>
  <si>
    <t>Beginning Diluted Shares (M)</t>
  </si>
  <si>
    <t>(−) Shares Repurchased (M)</t>
  </si>
  <si>
    <t>(+) SBC Dilution (M)</t>
  </si>
  <si>
    <t>SBC dilution = forecast revenue × SBC_Pct ÷ avg price (Repurchase_Price proxy).</t>
  </si>
  <si>
    <t>(=) Ending Diluted Shares (M)</t>
  </si>
  <si>
    <t>Outputs exposed as workbook named ranges (PPE_End_*, DA_*, Debt_End_*, Int_Exp_*, Debt_Curr_*, Debt_LT_*, Shares_End_*) for the forecast IS / BS / CF tabs.</t>
  </si>
  <si>
    <t>Income Statement Forecast — FY2025–FY2027</t>
  </si>
  <si>
    <t>Segment-driven revenue &amp; COGS · linked to Assumptions (live scenario) &amp; Supporting Schedules · Black = formula · Green = link · $ in $000s</t>
  </si>
  <si>
    <t>($000s unless noted)</t>
  </si>
  <si>
    <t>SEGMENT BUILD ($000s)</t>
  </si>
  <si>
    <t>Wholesale Revenue</t>
  </si>
  <si>
    <t>DTC Revenue</t>
  </si>
  <si>
    <t>DTC Mix %</t>
  </si>
  <si>
    <t>Wholesale COGS</t>
  </si>
  <si>
    <t>DTC COGS</t>
  </si>
  <si>
    <t>Total COGS</t>
  </si>
  <si>
    <t>From Debt Schedule (Int_Exp); shown negative as an expense.</t>
  </si>
  <si>
    <t>Income Tax Expense</t>
  </si>
  <si>
    <t>CHECKS</t>
  </si>
  <si>
    <t>Blended GM vs Segment Check</t>
  </si>
  <si>
    <t>Should be ~0: consolidated GM% less revenue-weighted segment GM%. Confirms the segment build ties to the consolidated statement.</t>
  </si>
  <si>
    <t>Balance Sheet Forecast — FY2025–FY2027</t>
  </si>
  <si>
    <t>Working capital from DSO/DIO/DPO · PP&amp;E &amp; debt from Supporting Schedules · Cash = plug (→ swap to CF ending cash when CF tab built) · $ in $000s</t>
  </si>
  <si>
    <t>($000s)</t>
  </si>
  <si>
    <t>CURRENT ASSETS</t>
  </si>
  <si>
    <t>Cash = CF ending cash (3-statement linkage). Balance check (row 38) is now a genuine integrity test, not a plug.</t>
  </si>
  <si>
    <t>NON-CURRENT ASSETS</t>
  </si>
  <si>
    <t>CURRENT LIABILITIES</t>
  </si>
  <si>
    <t>LONG-TERM LIABILITIES</t>
  </si>
  <si>
    <t>EQUITY</t>
  </si>
  <si>
    <t>Other Equity &amp; NCI</t>
  </si>
  <si>
    <t>Non-RE equity: rolls with NCI earnings, less buyback (treasury method), plus SBC credited to paid-in capital. Ties BS equity change to CF net income, SBC &amp; buyback.</t>
  </si>
  <si>
    <t>Total Equity</t>
  </si>
  <si>
    <t>TOTAL LIABILITIES + EQUITY</t>
  </si>
  <si>
    <t>Balance Check (Assets - L&amp;E)</t>
  </si>
  <si>
    <t>Cash Flow Forecast — FY2025–FY2027</t>
  </si>
  <si>
    <t>Indirect method · derived from IS &amp; BS changes · no new assumptions · ending cash = BS cash (3-statement linkage) · $ in $000s</t>
  </si>
  <si>
    <t>OPERATING ACTIVITIES</t>
  </si>
  <si>
    <t>Total net earnings incl NCI — correct indirect-method start. CF in $000s (historical CF on Historical tab is in $M).</t>
  </si>
  <si>
    <t>(+) Depreciation &amp; Amortization</t>
  </si>
  <si>
    <t>Non-cash add-back from Supporting Schedules (DA, positive).</t>
  </si>
  <si>
    <t>(+) Stock-Based Compensation</t>
  </si>
  <si>
    <t>Non-cash add-back = revenue × SBC_Pct (1.0%). Credited to paid-in capital on BS (articulates).</t>
  </si>
  <si>
    <t>(Incr.)/Decr. in Accounts Receivable</t>
  </si>
  <si>
    <t>Indirect method: asset increase = use of cash (negative). Δ = prior − current.</t>
  </si>
  <si>
    <t>(Incr.)/Decr. in Inventory</t>
  </si>
  <si>
    <t>Incr./(Decr.) in Accounts Payable</t>
  </si>
  <si>
    <t>Liability increase = source of cash (positive). Δ = current − prior.</t>
  </si>
  <si>
    <t>Incr./(Decr.) in Accrued Expenses</t>
  </si>
  <si>
    <t>(Incr.)/Decr. in Other Current Assets</t>
  </si>
  <si>
    <t>Net Cash from Operating Activities</t>
  </si>
  <si>
    <t>INVESTING ACTIVITIES</t>
  </si>
  <si>
    <t>From Assumptions (CapEx); cash outflow shown negative.</t>
  </si>
  <si>
    <t>Net Cash from Investing Activities</t>
  </si>
  <si>
    <t>FINANCING ACTIVITIES</t>
  </si>
  <si>
    <t>Scheduled repayment from Assumptions (−50,000), shown negative.</t>
  </si>
  <si>
    <t>Buyback ($000s) from Assumptions; outflow negative. Reduces BS equity (treasury method).</t>
  </si>
  <si>
    <t>Net Cash from Financing Activities</t>
  </si>
  <si>
    <t>NET CHANGE IN CASH</t>
  </si>
  <si>
    <t>Beginning Cash Balance</t>
  </si>
  <si>
    <t>FY2025 beginning = FY2024 year-end cash (BS / Historical F48), $000s.</t>
  </si>
  <si>
    <t>Ending Cash Balance</t>
  </si>
  <si>
    <t>Memo: Free Cash Flow (OCF + CapEx)</t>
  </si>
  <si>
    <t>Operating cash flow less capital expenditures.</t>
  </si>
  <si>
    <t>3-STATEMENT INTEGRITY CHECK</t>
  </si>
  <si>
    <t>CF Ending Cash − BS Cash (= 0 by linkage)</t>
  </si>
  <si>
    <t>0 by linkage after plug swap (BS cash = CF ending cash). Genuine test is now the BS Balance Check (row 38).</t>
  </si>
  <si>
    <t>Variance Analysis — FY2024 Budget vs. Actual</t>
  </si>
  <si>
    <t>Budget calibrated to February 2024 guidance | All figures $000s unless noted</t>
  </si>
  <si>
    <t>Budget</t>
  </si>
  <si>
    <t>Actual</t>
  </si>
  <si>
    <t>$ Variance</t>
  </si>
  <si>
    <t>% Variance</t>
  </si>
  <si>
    <t>Commentary</t>
  </si>
  <si>
    <t>REVENUE</t>
  </si>
  <si>
    <t>Wholesale beat budget on stronger-than-expected EMEA and Americas demand; actual 13.2% growth vs. ~10% planned.</t>
  </si>
  <si>
    <t>DTC slightly ahead of plan (10.7% actual vs. ~7% budgeted) as direct channel mix-shift continued.</t>
  </si>
  <si>
    <t>Revenue ~$269M favorable to budget, driven primarily by the Wholesale upside; both segments exceeded plan.</t>
  </si>
  <si>
    <t>PROFITABILITY</t>
  </si>
  <si>
    <t>Gross profit favorable on both higher revenue and a richer DTC mix lifting blended margin above plan.</t>
  </si>
  <si>
    <t>GM ~65bps favorable (53.2% actual vs. 52.5% budget) on lower per-unit freight and favorable channel mix.</t>
  </si>
  <si>
    <t>Selling expense ran above budget in absolute dollars on higher revenue, but stayed roughly in line as a % of sales.</t>
  </si>
  <si>
    <t>G&amp;A Expenses</t>
  </si>
  <si>
    <t>G&amp;A unfavorable on U.S./China distribution-center expansion and incremental DTC store buildout.</t>
  </si>
  <si>
    <t>Operating income modestly below the $913.5M budget as G&amp;A investment offset the revenue and gross-margin beat.</t>
  </si>
  <si>
    <t>Operating margin ~10.1% vs. 10.5% budget — the margin give-back is entirely OpEx-driven, not gross-margin.</t>
  </si>
  <si>
    <t>BOTTOM LINE</t>
  </si>
  <si>
    <t>Net earnings above budget, carried by the revenue and gross-profit beat flowing through to the bottom line.</t>
  </si>
  <si>
    <t>EPS $4.16 actual vs. $3.75 budget (+$0.41), reflecting the earnings beat plus a lower share count from buybacks.</t>
  </si>
  <si>
    <t>KPI Dashboard — FY2020–FY2027</t>
  </si>
  <si>
    <t>Select a forecast year to update the scorecard  |  All figures $000s unless noted</t>
  </si>
  <si>
    <t>DATA STAGING (chart &amp; KPI sources — cross-sheet links; safe to hide cols R:Z)</t>
  </si>
  <si>
    <t>Forecast Year:</t>
  </si>
  <si>
    <t>(year index →)</t>
  </si>
  <si>
    <t>DSO</t>
  </si>
  <si>
    <t>DIO</t>
  </si>
  <si>
    <t>Each KPI shows the selected forecast year; second line = YoY change vs prior year.</t>
  </si>
  <si>
    <t>DPO</t>
  </si>
  <si>
    <t>FY2025 Scenarios</t>
  </si>
  <si>
    <t>MODEL INTEGRITY CHECKS</t>
  </si>
  <si>
    <t>BS Balance Check (Assets = L+E)</t>
  </si>
  <si>
    <t>CF Ending Cash ties to BS Cash</t>
  </si>
  <si>
    <t>IS Net Earnings = CF starting line</t>
  </si>
  <si>
    <t>Retained Earnings consistent (via balance)</t>
  </si>
  <si>
    <t>All checks read the live model; PASS = tie within $1K rounding. RE consistency is implied by the zero balance check (authoritative integrity gate).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</si>
</sst>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;\(#,##0\);\-"/>
    <numFmt numFmtId="165" formatCode="0.0%"/>
    <numFmt numFmtId="166" formatCode="\$#,##0.00"/>
    <numFmt numFmtId="167" formatCode="#,##0.0"/>
    <numFmt numFmtId="168" formatCode="#,##0.0;\(#,##0.0\);\-"/>
    <numFmt numFmtId="169" formatCode="0.0"/>
    <numFmt numFmtId="170" formatCode="#,##0;\(#,##0\)"/>
    <numFmt numFmtId="171" formatCode="0.000"/>
    <numFmt numFmtId="172" formatCode="0.0000%"/>
    <numFmt numFmtId="173" formatCode="\+#,##0;\(#,##0\)"/>
    <numFmt numFmtId="174" formatCode="\+0.0%;\(0.0%\)"/>
    <numFmt numFmtId="175" formatCode="\+\$0.00;\(\$0.00\)"/>
  </numFmts>
  <fonts count="49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2"/>
      <color rgb="FF1F4E79"/>
      <name val="Arial"/>
      <charset val="1"/>
    </font>
    <font>
      <sz val="9"/>
      <color rgb="FF808080"/>
      <name val="Arial"/>
      <charset val="1"/>
    </font>
    <font>
      <b/>
      <sz val="10"/>
      <color rgb="FFFFFFFF"/>
      <name val="Arial"/>
      <charset val="1"/>
    </font>
    <font>
      <b/>
      <sz val="12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i/>
      <sz val="10"/>
      <name val="Arial"/>
      <charset val="1"/>
    </font>
    <font>
      <b/>
      <i/>
      <sz val="10"/>
      <name val="Arial"/>
      <charset val="1"/>
    </font>
    <font>
      <b/>
      <sz val="10"/>
      <color rgb="FFFF0000"/>
      <name val="Arial"/>
      <charset val="1"/>
    </font>
    <font>
      <b/>
      <sz val="14"/>
      <color rgb="FF000000"/>
      <name val="Arial"/>
    </font>
    <font>
      <b/>
      <sz val="12"/>
      <color rgb="FF1F4E79"/>
      <name val="Arial"/>
    </font>
    <font>
      <i/>
      <sz val="9"/>
      <color rgb="FF80808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Arial"/>
    </font>
    <font>
      <b/>
      <sz val="9"/>
      <color rgb="FF808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008000"/>
      <name val="Arial"/>
    </font>
    <font>
      <b/>
      <sz val="11"/>
      <color rgb="FFFFFFFF"/>
      <name val="Arial"/>
    </font>
    <font>
      <b/>
      <sz val="11"/>
      <color rgb="FF000000"/>
      <name val="Arial"/>
    </font>
    <font>
      <sz val="10"/>
      <color rgb="FF0000FF"/>
      <name val="Arial"/>
    </font>
    <font>
      <b/>
      <i/>
      <sz val="9"/>
      <color rgb="FFFFFFFF"/>
      <name val="Arial"/>
    </font>
    <font>
      <sz val="10"/>
      <color rgb="FF008000"/>
      <name val="Arial"/>
    </font>
    <font>
      <b/>
      <sz val="10"/>
      <color rgb="FF008000"/>
      <name val="Arial"/>
    </font>
    <font>
      <i/>
      <sz val="10"/>
      <color rgb="FF000000"/>
      <name val="Arial"/>
    </font>
    <font>
      <i/>
      <sz val="8"/>
      <color rgb="FF808080"/>
      <name val="Arial"/>
    </font>
    <font>
      <sz val="8"/>
      <color rgb="FF808080"/>
      <name val="Arial"/>
    </font>
    <font>
      <sz val="9"/>
      <color rgb="FF80808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b/>
      <sz val="10"/>
      <color rgb="FF1F4E79"/>
      <name val="Arial"/>
    </font>
    <font>
      <b/>
      <sz val="11"/>
      <color rgb="FF1F4E79"/>
      <name val="Arial"/>
    </font>
    <font>
      <b/>
      <sz val="8"/>
      <color rgb="FF808080"/>
      <name val="Arial"/>
    </font>
    <font>
      <b/>
      <sz val="8"/>
      <color rgb="FF1F4E79"/>
      <name val="Arial"/>
    </font>
    <font>
      <sz val="8"/>
      <color rgb="FF008000"/>
      <name val="Arial"/>
    </font>
    <font>
      <b/>
      <sz val="17"/>
      <color rgb="FF1F4E79"/>
      <name val="Arial"/>
    </font>
    <font>
      <b/>
      <sz val="9"/>
      <color rgb="FF000000"/>
      <name val="Arial"/>
    </font>
    <font>
      <b/>
      <sz val="18"/>
      <color rgb="FF000000"/>
      <name val="Calibri"/>
    </font>
    <font>
      <i/>
      <sz val="11"/>
      <color rgb="FF404040"/>
      <name val="Calibri"/>
    </font>
    <font>
      <sz val="10"/>
      <color rgb="FF60606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b/>
      <sz val="11"/>
      <color rgb="FF008000"/>
      <name val="Calibri"/>
    </font>
    <font>
      <i/>
      <sz val="9"/>
      <color rgb="FF606060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CCFFFF"/>
      </patternFill>
    </fill>
    <fill>
      <patternFill patternType="solid">
        <fgColor rgb="FFFFFF99"/>
      </patternFill>
    </fill>
    <fill>
      <patternFill patternType="solid">
        <fgColor rgb="FF1F4E79"/>
      </patternFill>
    </fill>
    <fill>
      <patternFill patternType="solid">
        <fgColor rgb="FFC6E0B4"/>
      </patternFill>
    </fill>
    <fill>
      <patternFill patternType="solid">
        <fgColor rgb="FFDDEBF7"/>
      </patternFill>
    </fill>
    <fill>
      <patternFill patternType="solid">
        <fgColor rgb="FFE2EFDA"/>
      </patternFill>
    </fill>
    <fill>
      <patternFill patternType="solid">
        <fgColor rgb="FFD6E4F0"/>
      </patternFill>
    </fill>
    <fill>
      <patternFill patternType="solid">
        <fgColor rgb="FF1F4E79"/>
        <bgColor rgb="FF1F4E79"/>
      </patternFill>
    </fill>
    <fill>
      <patternFill patternType="solid">
        <fgColor rgb="FFD6E4F0"/>
        <bgColor rgb="FFD6E4F0"/>
      </patternFill>
    </fill>
    <fill>
      <patternFill patternType="solid">
        <fgColor rgb="FFFFF2CC"/>
      </patternFill>
    </fill>
    <fill>
      <patternFill patternType="solid">
        <fgColor rgb="FFF2F6FC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1F4E79"/>
      </bottom>
      <diagonal/>
    </border>
    <border>
      <left style="medium">
        <color rgb="FFC6E0B4"/>
      </left>
      <right/>
      <top/>
      <bottom/>
      <diagonal/>
    </border>
    <border>
      <left style="medium">
        <color rgb="FFC6E0B4"/>
      </left>
      <right/>
      <top/>
      <bottom style="medium">
        <color rgb="FF1F4E79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1F4E79"/>
      </bottom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22"/>
  </cellStyleXfs>
  <cellXfs count="198"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0" fillId="3" borderId="0" xfId="0" applyFill="1" applyBorder="1"/>
    <xf numFmtId="0" fontId="6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165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166" fontId="7" fillId="0" borderId="0" xfId="0" applyNumberFormat="1" applyFont="1" applyBorder="1" applyAlignment="1">
      <alignment horizontal="right" vertical="center"/>
    </xf>
    <xf numFmtId="167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/>
    <xf numFmtId="165" fontId="9" fillId="0" borderId="0" xfId="0" applyNumberFormat="1" applyFont="1" applyBorder="1" applyAlignment="1">
      <alignment horizontal="right" vertical="center"/>
    </xf>
    <xf numFmtId="0" fontId="10" fillId="0" borderId="0" xfId="0" applyFont="1" applyBorder="1"/>
    <xf numFmtId="168" fontId="7" fillId="0" borderId="0" xfId="0" applyNumberFormat="1" applyFont="1" applyBorder="1" applyAlignment="1">
      <alignment horizontal="right" vertical="center"/>
    </xf>
    <xf numFmtId="168" fontId="6" fillId="0" borderId="0" xfId="0" applyNumberFormat="1" applyFont="1" applyBorder="1" applyAlignment="1">
      <alignment horizontal="right" vertical="center"/>
    </xf>
    <xf numFmtId="0" fontId="6" fillId="0" borderId="0" xfId="0" applyFont="1" applyBorder="1"/>
    <xf numFmtId="0" fontId="7" fillId="0" borderId="0" xfId="0" applyFont="1" applyBorder="1"/>
    <xf numFmtId="169" fontId="7" fillId="0" borderId="0" xfId="0" applyNumberFormat="1" applyFont="1" applyBorder="1" applyAlignment="1">
      <alignment horizontal="right" vertical="center"/>
    </xf>
    <xf numFmtId="169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5" fillId="3" borderId="0" xfId="0" applyFont="1" applyFill="1" applyBorder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5" fillId="4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8" fillId="4" borderId="0" xfId="0" applyFont="1" applyFill="1" applyBorder="1"/>
    <xf numFmtId="0" fontId="19" fillId="0" borderId="0" xfId="0" applyFont="1" applyBorder="1"/>
    <xf numFmtId="0" fontId="20" fillId="0" borderId="0" xfId="0" applyFont="1" applyBorder="1"/>
    <xf numFmtId="0" fontId="21" fillId="5" borderId="0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/>
    </xf>
    <xf numFmtId="0" fontId="14" fillId="7" borderId="1" xfId="0" applyFont="1" applyFill="1" applyBorder="1" applyAlignment="1">
      <alignment horizontal="center"/>
    </xf>
    <xf numFmtId="0" fontId="0" fillId="0" borderId="1" xfId="0" applyBorder="1"/>
    <xf numFmtId="0" fontId="14" fillId="8" borderId="1" xfId="0" applyFont="1" applyFill="1" applyBorder="1" applyAlignment="1">
      <alignment horizontal="center"/>
    </xf>
    <xf numFmtId="0" fontId="22" fillId="9" borderId="0" xfId="0" applyFont="1" applyFill="1" applyBorder="1" applyAlignment="1">
      <alignment horizontal="left"/>
    </xf>
    <xf numFmtId="0" fontId="22" fillId="9" borderId="0" xfId="0" applyFont="1" applyFill="1" applyBorder="1"/>
    <xf numFmtId="0" fontId="16" fillId="0" borderId="0" xfId="0" applyFont="1" applyBorder="1" applyAlignment="1">
      <alignment horizontal="left"/>
    </xf>
    <xf numFmtId="165" fontId="23" fillId="4" borderId="0" xfId="0" applyNumberFormat="1" applyFont="1" applyFill="1" applyBorder="1" applyAlignment="1">
      <alignment horizontal="right"/>
    </xf>
    <xf numFmtId="165" fontId="16" fillId="0" borderId="0" xfId="0" applyNumberFormat="1" applyFont="1" applyBorder="1" applyAlignment="1">
      <alignment horizontal="right"/>
    </xf>
    <xf numFmtId="170" fontId="23" fillId="4" borderId="0" xfId="0" applyNumberFormat="1" applyFont="1" applyFill="1" applyBorder="1" applyAlignment="1">
      <alignment horizontal="right"/>
    </xf>
    <xf numFmtId="170" fontId="16" fillId="0" borderId="0" xfId="0" applyNumberFormat="1" applyFont="1" applyBorder="1" applyAlignment="1">
      <alignment horizontal="right"/>
    </xf>
    <xf numFmtId="169" fontId="23" fillId="4" borderId="0" xfId="0" applyNumberFormat="1" applyFont="1" applyFill="1" applyBorder="1" applyAlignment="1">
      <alignment horizontal="right"/>
    </xf>
    <xf numFmtId="169" fontId="16" fillId="0" borderId="0" xfId="0" applyNumberFormat="1" applyFont="1" applyBorder="1" applyAlignment="1">
      <alignment horizontal="right"/>
    </xf>
    <xf numFmtId="3" fontId="23" fillId="4" borderId="0" xfId="0" applyNumberFormat="1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right"/>
    </xf>
    <xf numFmtId="166" fontId="23" fillId="4" borderId="0" xfId="0" applyNumberFormat="1" applyFont="1" applyFill="1" applyBorder="1" applyAlignment="1">
      <alignment horizontal="right"/>
    </xf>
    <xf numFmtId="166" fontId="16" fillId="0" borderId="0" xfId="0" applyNumberFormat="1" applyFont="1" applyBorder="1" applyAlignment="1">
      <alignment horizontal="right"/>
    </xf>
    <xf numFmtId="0" fontId="14" fillId="8" borderId="3" xfId="0" applyFont="1" applyFill="1" applyBorder="1" applyAlignment="1">
      <alignment horizontal="center"/>
    </xf>
    <xf numFmtId="0" fontId="22" fillId="9" borderId="2" xfId="0" applyFont="1" applyFill="1" applyBorder="1"/>
    <xf numFmtId="165" fontId="16" fillId="0" borderId="2" xfId="0" applyNumberFormat="1" applyFont="1" applyBorder="1" applyAlignment="1">
      <alignment horizontal="right"/>
    </xf>
    <xf numFmtId="0" fontId="0" fillId="0" borderId="2" xfId="0" applyBorder="1"/>
    <xf numFmtId="170" fontId="16" fillId="0" borderId="2" xfId="0" applyNumberFormat="1" applyFont="1" applyBorder="1" applyAlignment="1">
      <alignment horizontal="right"/>
    </xf>
    <xf numFmtId="169" fontId="16" fillId="0" borderId="2" xfId="0" applyNumberFormat="1" applyFont="1" applyBorder="1" applyAlignment="1">
      <alignment horizontal="right"/>
    </xf>
    <xf numFmtId="3" fontId="16" fillId="0" borderId="2" xfId="0" applyNumberFormat="1" applyFont="1" applyBorder="1" applyAlignment="1">
      <alignment horizontal="right"/>
    </xf>
    <xf numFmtId="166" fontId="16" fillId="0" borderId="2" xfId="0" applyNumberFormat="1" applyFont="1" applyBorder="1" applyAlignment="1">
      <alignment horizontal="right"/>
    </xf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24" fillId="5" borderId="0" xfId="0" applyFont="1" applyFill="1" applyBorder="1" applyAlignment="1">
      <alignment horizontal="left" vertical="center"/>
    </xf>
    <xf numFmtId="0" fontId="14" fillId="9" borderId="0" xfId="0" applyFont="1" applyFill="1" applyBorder="1" applyAlignment="1">
      <alignment horizontal="left"/>
    </xf>
    <xf numFmtId="0" fontId="0" fillId="9" borderId="0" xfId="0" applyFill="1" applyBorder="1"/>
    <xf numFmtId="0" fontId="16" fillId="0" borderId="0" xfId="0" applyFont="1" applyBorder="1" applyAlignment="1">
      <alignment horizontal="left" indent="1"/>
    </xf>
    <xf numFmtId="170" fontId="25" fillId="0" borderId="0" xfId="0" applyNumberFormat="1" applyFont="1" applyBorder="1" applyAlignment="1">
      <alignment horizontal="right"/>
    </xf>
    <xf numFmtId="0" fontId="14" fillId="0" borderId="4" xfId="0" applyFont="1" applyBorder="1" applyAlignment="1">
      <alignment horizontal="left" indent="1"/>
    </xf>
    <xf numFmtId="170" fontId="26" fillId="0" borderId="4" xfId="0" applyNumberFormat="1" applyFont="1" applyBorder="1" applyAlignment="1">
      <alignment horizontal="right"/>
    </xf>
    <xf numFmtId="170" fontId="14" fillId="0" borderId="4" xfId="0" applyNumberFormat="1" applyFont="1" applyBorder="1" applyAlignment="1">
      <alignment horizontal="right"/>
    </xf>
    <xf numFmtId="0" fontId="27" fillId="0" borderId="0" xfId="0" applyFont="1" applyBorder="1" applyAlignment="1">
      <alignment horizontal="left" indent="1"/>
    </xf>
    <xf numFmtId="0" fontId="28" fillId="0" borderId="0" xfId="0" applyFont="1" applyBorder="1" applyAlignment="1">
      <alignment horizontal="left"/>
    </xf>
    <xf numFmtId="169" fontId="25" fillId="0" borderId="0" xfId="0" applyNumberFormat="1" applyFont="1" applyBorder="1" applyAlignment="1">
      <alignment horizontal="right"/>
    </xf>
    <xf numFmtId="171" fontId="25" fillId="0" borderId="0" xfId="0" applyNumberFormat="1" applyFont="1" applyBorder="1" applyAlignment="1">
      <alignment horizontal="right"/>
    </xf>
    <xf numFmtId="169" fontId="26" fillId="0" borderId="4" xfId="0" applyNumberFormat="1" applyFont="1" applyBorder="1" applyAlignment="1">
      <alignment horizontal="right"/>
    </xf>
    <xf numFmtId="169" fontId="14" fillId="0" borderId="4" xfId="0" applyNumberFormat="1" applyFont="1" applyBorder="1" applyAlignment="1">
      <alignment horizontal="right"/>
    </xf>
    <xf numFmtId="0" fontId="29" fillId="0" borderId="0" xfId="0" applyFont="1" applyBorder="1" applyAlignment="1">
      <alignment horizontal="left"/>
    </xf>
    <xf numFmtId="0" fontId="24" fillId="5" borderId="0" xfId="0" applyFont="1" applyFill="1" applyBorder="1" applyAlignment="1">
      <alignment horizontal="left"/>
    </xf>
    <xf numFmtId="0" fontId="21" fillId="5" borderId="0" xfId="0" applyFont="1" applyFill="1" applyBorder="1" applyAlignment="1">
      <alignment horizontal="center"/>
    </xf>
    <xf numFmtId="0" fontId="14" fillId="9" borderId="0" xfId="0" applyFont="1" applyFill="1" applyBorder="1"/>
    <xf numFmtId="0" fontId="14" fillId="0" borderId="4" xfId="0" applyFont="1" applyBorder="1" applyAlignment="1">
      <alignment horizontal="left"/>
    </xf>
    <xf numFmtId="166" fontId="26" fillId="0" borderId="0" xfId="0" applyNumberFormat="1" applyFont="1" applyBorder="1" applyAlignment="1">
      <alignment horizontal="right"/>
    </xf>
    <xf numFmtId="172" fontId="25" fillId="0" borderId="0" xfId="0" applyNumberFormat="1" applyFont="1" applyBorder="1" applyAlignment="1">
      <alignment horizontal="right"/>
    </xf>
    <xf numFmtId="0" fontId="24" fillId="10" borderId="0" xfId="0" applyFont="1" applyFill="1" applyBorder="1"/>
    <xf numFmtId="0" fontId="21" fillId="10" borderId="0" xfId="0" applyFont="1" applyFill="1" applyBorder="1" applyAlignment="1">
      <alignment horizontal="right"/>
    </xf>
    <xf numFmtId="0" fontId="14" fillId="11" borderId="0" xfId="0" applyFont="1" applyFill="1" applyBorder="1"/>
    <xf numFmtId="0" fontId="16" fillId="0" borderId="0" xfId="0" applyFont="1" applyBorder="1"/>
    <xf numFmtId="0" fontId="14" fillId="0" borderId="0" xfId="0" applyFont="1" applyBorder="1"/>
    <xf numFmtId="170" fontId="14" fillId="0" borderId="5" xfId="0" applyNumberFormat="1" applyFont="1" applyBorder="1" applyAlignment="1">
      <alignment horizontal="right"/>
    </xf>
    <xf numFmtId="170" fontId="14" fillId="0" borderId="6" xfId="0" applyNumberFormat="1" applyFont="1" applyBorder="1" applyAlignment="1">
      <alignment horizontal="right"/>
    </xf>
    <xf numFmtId="0" fontId="24" fillId="5" borderId="0" xfId="0" applyFont="1" applyFill="1" applyBorder="1"/>
    <xf numFmtId="0" fontId="21" fillId="5" borderId="0" xfId="0" applyFont="1" applyFill="1" applyBorder="1" applyAlignment="1">
      <alignment horizontal="right"/>
    </xf>
    <xf numFmtId="170" fontId="14" fillId="0" borderId="0" xfId="0" applyNumberFormat="1" applyFont="1" applyBorder="1" applyAlignment="1">
      <alignment horizontal="right"/>
    </xf>
    <xf numFmtId="170" fontId="26" fillId="0" borderId="0" xfId="0" applyNumberFormat="1" applyFont="1" applyBorder="1" applyAlignment="1">
      <alignment horizontal="right"/>
    </xf>
    <xf numFmtId="0" fontId="30" fillId="0" borderId="0" xfId="0" applyFont="1" applyBorder="1"/>
    <xf numFmtId="0" fontId="31" fillId="10" borderId="0" xfId="0" applyFont="1" applyFill="1" applyBorder="1"/>
    <xf numFmtId="0" fontId="21" fillId="10" borderId="0" xfId="0" applyFont="1" applyFill="1" applyBorder="1"/>
    <xf numFmtId="0" fontId="0" fillId="11" borderId="0" xfId="0" applyFill="1" applyBorder="1"/>
    <xf numFmtId="164" fontId="23" fillId="0" borderId="0" xfId="0" applyNumberFormat="1" applyFont="1" applyBorder="1"/>
    <xf numFmtId="164" fontId="25" fillId="0" borderId="0" xfId="0" applyNumberFormat="1" applyFont="1" applyBorder="1"/>
    <xf numFmtId="164" fontId="16" fillId="0" borderId="0" xfId="0" applyNumberFormat="1" applyFont="1" applyBorder="1"/>
    <xf numFmtId="165" fontId="16" fillId="0" borderId="0" xfId="0" applyNumberFormat="1" applyFont="1" applyBorder="1"/>
    <xf numFmtId="0" fontId="14" fillId="0" borderId="5" xfId="0" applyFont="1" applyBorder="1"/>
    <xf numFmtId="164" fontId="15" fillId="0" borderId="5" xfId="0" applyNumberFormat="1" applyFont="1" applyBorder="1"/>
    <xf numFmtId="164" fontId="26" fillId="0" borderId="5" xfId="0" applyNumberFormat="1" applyFont="1" applyBorder="1"/>
    <xf numFmtId="164" fontId="14" fillId="0" borderId="5" xfId="0" applyNumberFormat="1" applyFont="1" applyBorder="1"/>
    <xf numFmtId="165" fontId="14" fillId="0" borderId="5" xfId="0" applyNumberFormat="1" applyFont="1" applyBorder="1"/>
    <xf numFmtId="165" fontId="23" fillId="0" borderId="0" xfId="0" applyNumberFormat="1" applyFont="1" applyBorder="1"/>
    <xf numFmtId="165" fontId="25" fillId="0" borderId="0" xfId="0" applyNumberFormat="1" applyFont="1" applyBorder="1"/>
    <xf numFmtId="164" fontId="15" fillId="0" borderId="0" xfId="0" applyNumberFormat="1" applyFont="1" applyBorder="1"/>
    <xf numFmtId="164" fontId="26" fillId="0" borderId="0" xfId="0" applyNumberFormat="1" applyFont="1" applyBorder="1"/>
    <xf numFmtId="164" fontId="14" fillId="0" borderId="0" xfId="0" applyNumberFormat="1" applyFont="1" applyBorder="1"/>
    <xf numFmtId="165" fontId="14" fillId="0" borderId="0" xfId="0" applyNumberFormat="1" applyFont="1" applyBorder="1"/>
    <xf numFmtId="166" fontId="15" fillId="0" borderId="0" xfId="0" applyNumberFormat="1" applyFont="1" applyBorder="1"/>
    <xf numFmtId="166" fontId="26" fillId="0" borderId="0" xfId="0" applyNumberFormat="1" applyFont="1" applyBorder="1"/>
    <xf numFmtId="166" fontId="14" fillId="0" borderId="0" xfId="0" applyNumberFormat="1" applyFont="1" applyBorder="1"/>
    <xf numFmtId="0" fontId="19" fillId="0" borderId="0" xfId="0" applyFont="1" applyBorder="1" applyAlignment="1">
      <alignment vertical="top" wrapText="1"/>
    </xf>
    <xf numFmtId="0" fontId="32" fillId="5" borderId="0" xfId="0" applyFont="1" applyFill="1" applyBorder="1"/>
    <xf numFmtId="164" fontId="23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166" fontId="23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0" fontId="33" fillId="0" borderId="7" xfId="0" applyFont="1" applyBorder="1"/>
    <xf numFmtId="164" fontId="16" fillId="0" borderId="0" xfId="0" applyNumberFormat="1" applyFont="1" applyBorder="1" applyAlignment="1">
      <alignment horizontal="right"/>
    </xf>
    <xf numFmtId="0" fontId="28" fillId="0" borderId="0" xfId="0" applyFont="1" applyBorder="1" applyAlignment="1">
      <alignment horizontal="right"/>
    </xf>
    <xf numFmtId="164" fontId="32" fillId="5" borderId="0" xfId="0" applyNumberFormat="1" applyFont="1" applyFill="1" applyBorder="1" applyAlignment="1">
      <alignment horizontal="center"/>
    </xf>
    <xf numFmtId="165" fontId="23" fillId="0" borderId="0" xfId="0" applyNumberFormat="1" applyFont="1" applyBorder="1" applyAlignment="1">
      <alignment horizontal="center"/>
    </xf>
    <xf numFmtId="164" fontId="23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34" fillId="12" borderId="8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164" fontId="37" fillId="0" borderId="0" xfId="0" applyNumberFormat="1" applyFont="1" applyBorder="1" applyAlignment="1">
      <alignment vertical="center"/>
    </xf>
    <xf numFmtId="165" fontId="37" fillId="0" borderId="0" xfId="0" applyNumberFormat="1" applyFont="1" applyBorder="1" applyAlignment="1">
      <alignment vertical="center"/>
    </xf>
    <xf numFmtId="169" fontId="37" fillId="0" borderId="0" xfId="0" applyNumberFormat="1" applyFont="1" applyBorder="1" applyAlignment="1">
      <alignment vertical="center"/>
    </xf>
    <xf numFmtId="166" fontId="37" fillId="0" borderId="0" xfId="0" applyNumberFormat="1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31" fillId="5" borderId="21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39" fillId="0" borderId="22" xfId="0" applyFont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45" fillId="15" borderId="24" xfId="0" applyFont="1" applyFill="1" applyBorder="1" applyAlignment="1">
      <alignment horizontal="left" vertical="center"/>
    </xf>
    <xf numFmtId="0" fontId="45" fillId="0" borderId="25" xfId="0" applyFont="1" applyBorder="1" applyAlignment="1">
      <alignment horizontal="left" vertical="center"/>
    </xf>
    <xf numFmtId="0" fontId="46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45" fillId="16" borderId="0" xfId="0" applyFont="1" applyFill="1" applyBorder="1" applyAlignment="1">
      <alignment horizontal="left" vertical="center"/>
    </xf>
    <xf numFmtId="0" fontId="45" fillId="15" borderId="24" xfId="0" applyFont="1" applyFill="1" applyBorder="1" applyAlignment="1">
      <alignment horizontal="left" vertical="center" wrapText="1"/>
    </xf>
    <xf numFmtId="0" fontId="45" fillId="15" borderId="24" xfId="0" applyFont="1" applyFill="1" applyBorder="1" applyAlignment="1">
      <alignment horizontal="center" vertical="center"/>
    </xf>
    <xf numFmtId="0" fontId="45" fillId="0" borderId="28" xfId="0" applyFont="1" applyBorder="1" applyAlignment="1">
      <alignment horizontal="center" vertical="center"/>
    </xf>
    <xf numFmtId="0" fontId="33" fillId="0" borderId="22" xfId="0" applyFont="1"/>
    <xf numFmtId="0" fontId="0" fillId="0" borderId="0" xfId="0" applyBorder="1"/>
    <xf numFmtId="0" fontId="13" fillId="0" borderId="22" xfId="0" applyFont="1" applyAlignment="1">
      <alignment horizontal="left" vertical="top" wrapText="1"/>
    </xf>
    <xf numFmtId="0" fontId="44" fillId="0" borderId="22" xfId="0" applyFont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0" fillId="0" borderId="26" xfId="0" applyBorder="1"/>
    <xf numFmtId="0" fontId="43" fillId="14" borderId="22" xfId="0" applyFont="1" applyFill="1" applyAlignment="1">
      <alignment horizontal="left" vertical="center"/>
    </xf>
    <xf numFmtId="0" fontId="44" fillId="0" borderId="22" xfId="0" applyFont="1" applyAlignment="1">
      <alignment horizontal="left" vertical="top" wrapText="1"/>
    </xf>
    <xf numFmtId="0" fontId="45" fillId="15" borderId="27" xfId="0" applyFont="1" applyFill="1" applyBorder="1" applyAlignment="1">
      <alignment horizontal="left" vertical="center"/>
    </xf>
    <xf numFmtId="0" fontId="0" fillId="0" borderId="27" xfId="0" applyBorder="1"/>
    <xf numFmtId="0" fontId="48" fillId="0" borderId="22" xfId="0" applyFont="1" applyAlignment="1">
      <alignment horizontal="left" vertical="center" wrapText="1"/>
    </xf>
    <xf numFmtId="0" fontId="40" fillId="0" borderId="22" xfId="0" applyFont="1" applyAlignment="1">
      <alignment horizontal="left" vertical="center"/>
    </xf>
    <xf numFmtId="0" fontId="42" fillId="0" borderId="22" xfId="0" applyFont="1" applyAlignment="1">
      <alignment horizontal="left" vertical="center"/>
    </xf>
    <xf numFmtId="0" fontId="41" fillId="0" borderId="22" xfId="0" applyFont="1" applyAlignment="1">
      <alignment horizontal="left" vertical="center"/>
    </xf>
    <xf numFmtId="0" fontId="21" fillId="5" borderId="22" xfId="0" applyFont="1" applyFill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164" fontId="38" fillId="13" borderId="15" xfId="0" applyNumberFormat="1" applyFont="1" applyFill="1" applyBorder="1" applyAlignment="1">
      <alignment horizontal="center" vertical="center"/>
    </xf>
    <xf numFmtId="0" fontId="0" fillId="0" borderId="16" xfId="0" applyBorder="1"/>
    <xf numFmtId="0" fontId="30" fillId="13" borderId="17" xfId="0" applyFont="1" applyFill="1" applyBorder="1" applyAlignment="1">
      <alignment horizontal="center" vertical="center"/>
    </xf>
    <xf numFmtId="0" fontId="0" fillId="0" borderId="18" xfId="0" applyBorder="1"/>
    <xf numFmtId="0" fontId="28" fillId="0" borderId="22" xfId="0" applyFont="1" applyAlignment="1">
      <alignment vertical="center" wrapText="1"/>
    </xf>
    <xf numFmtId="0" fontId="14" fillId="9" borderId="22" xfId="0" applyFont="1" applyFill="1" applyAlignment="1">
      <alignment horizontal="left" vertical="center"/>
    </xf>
    <xf numFmtId="165" fontId="38" fillId="13" borderId="15" xfId="0" applyNumberFormat="1" applyFont="1" applyFill="1" applyBorder="1" applyAlignment="1">
      <alignment horizontal="center" vertical="center"/>
    </xf>
    <xf numFmtId="175" fontId="13" fillId="13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31" fillId="5" borderId="9" xfId="0" applyFont="1" applyFill="1" applyBorder="1" applyAlignment="1">
      <alignment horizontal="left" vertical="center"/>
    </xf>
    <xf numFmtId="0" fontId="0" fillId="0" borderId="21" xfId="0" applyBorder="1"/>
    <xf numFmtId="173" fontId="13" fillId="13" borderId="19" xfId="0" applyNumberFormat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 vertical="center" wrapText="1"/>
    </xf>
    <xf numFmtId="174" fontId="13" fillId="13" borderId="19" xfId="0" applyNumberFormat="1" applyFont="1" applyFill="1" applyBorder="1" applyAlignment="1">
      <alignment horizontal="center" vertical="center"/>
    </xf>
    <xf numFmtId="166" fontId="38" fillId="13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/>
        <sz val="9"/>
        <color rgb="FF9C0006"/>
        <name val="Arial"/>
      </font>
      <fill>
        <patternFill patternType="solid">
          <fgColor rgb="FFFFC7CE"/>
        </patternFill>
      </fill>
    </dxf>
    <dxf>
      <font>
        <b/>
        <sz val="9"/>
        <color rgb="FF006100"/>
        <name val="Arial"/>
      </font>
      <fill>
        <patternFill patternType="solid">
          <f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ont>
        <b/>
        <sz val="10"/>
        <color rgb="FF9C0006"/>
        <name val="Arial"/>
      </font>
      <fill>
        <patternFill patternType="solid">
          <fgColor rgb="FFFFC7CE"/>
          <bgColor rgb="FFFFC7CE"/>
        </patternFill>
      </fill>
    </dxf>
    <dxf>
      <font>
        <b/>
        <sz val="10"/>
        <color rgb="FF006100"/>
        <name val="Arial"/>
      </font>
      <fill>
        <patternFill patternType="solid">
          <fgColor rgb="FFC6EFCE"/>
          <bgColor rgb="FFC6EFCE"/>
        </patternFill>
      </fill>
    </dxf>
    <dxf>
      <font>
        <b/>
        <sz val="11"/>
        <color rgb="FF9C0006"/>
        <name val="Calibri"/>
      </font>
      <fill>
        <patternFill patternType="solid">
          <fgColor rgb="FFFFC7CE"/>
          <bgColor rgb="FFFFC7CE"/>
        </patternFill>
      </fill>
    </dxf>
    <dxf>
      <font>
        <b/>
        <sz val="11"/>
        <color rgb="FF006100"/>
        <name val="Calibri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Revenue by Segment ($000s)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'KPI Dashboard'!$R$6</c:f>
              <c:strCache>
                <c:ptCount val="1"/>
                <c:pt idx="0">
                  <c:v>Wholesale Revenue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Dashboard'!$S$6:$Z$6</c:f>
              <c:numCache>
                <c:formatCode>#,##0;\(#,##0\);\-</c:formatCode>
                <c:ptCount val="8"/>
                <c:pt idx="0">
                  <c:v>2835000</c:v>
                </c:pt>
                <c:pt idx="1">
                  <c:v>3758600</c:v>
                </c:pt>
                <c:pt idx="2">
                  <c:v>4632400</c:v>
                </c:pt>
                <c:pt idx="3">
                  <c:v>4504800</c:v>
                </c:pt>
                <c:pt idx="4">
                  <c:v>5100500</c:v>
                </c:pt>
                <c:pt idx="5">
                  <c:v>5508540</c:v>
                </c:pt>
                <c:pt idx="6">
                  <c:v>5894137.8000000007</c:v>
                </c:pt>
                <c:pt idx="7">
                  <c:v>6247786.0680000009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3-4DF4-96FF-0E1FE79C1457}"/>
            </c:ext>
          </c:extLst>
        </c:ser>
        <c:ser>
          <c:idx val="1"/>
          <c:order val="1"/>
          <c:tx>
            <c:strRef>
              <c:f>'KPI Dashboard'!$R$7</c:f>
              <c:strCache>
                <c:ptCount val="1"/>
                <c:pt idx="0">
                  <c:v>DTC Revenue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Dashboard'!$S$7:$Z$7</c:f>
              <c:numCache>
                <c:formatCode>#,##0;\(#,##0\);\-</c:formatCode>
                <c:ptCount val="8"/>
                <c:pt idx="0">
                  <c:v>1778400</c:v>
                </c:pt>
                <c:pt idx="1">
                  <c:v>2551500</c:v>
                </c:pt>
                <c:pt idx="2">
                  <c:v>2812100</c:v>
                </c:pt>
                <c:pt idx="3">
                  <c:v>3495500</c:v>
                </c:pt>
                <c:pt idx="4">
                  <c:v>3868900</c:v>
                </c:pt>
                <c:pt idx="5">
                  <c:v>4255790</c:v>
                </c:pt>
                <c:pt idx="6">
                  <c:v>4638811.1000000006</c:v>
                </c:pt>
                <c:pt idx="7">
                  <c:v>5009915.9880000008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3-4DF4-96FF-0E1FE79C1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;\(#,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Margin Trend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'KPI Dashboard'!$R$9</c:f>
              <c:strCache>
                <c:ptCount val="1"/>
                <c:pt idx="0">
                  <c:v>Gross Margin %</c:v>
                </c:pt>
              </c:strCache>
            </c:strRef>
          </c:tx>
          <c:spPr>
            <a:ln w="28575">
              <a:solidFill>
                <a:srgbClr val="1F4E79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Dashboard'!$S$9:$Z$9</c:f>
              <c:numCache>
                <c:formatCode>0.0%</c:formatCode>
                <c:ptCount val="8"/>
                <c:pt idx="0">
                  <c:v>0.47812528246331198</c:v>
                </c:pt>
                <c:pt idx="1">
                  <c:v>0.49513120686737067</c:v>
                </c:pt>
                <c:pt idx="2">
                  <c:v>0.47220543887810545</c:v>
                </c:pt>
                <c:pt idx="3">
                  <c:v>0.51902831153968165</c:v>
                </c:pt>
                <c:pt idx="4">
                  <c:v>0.53152552509094586</c:v>
                </c:pt>
                <c:pt idx="5">
                  <c:v>0.53306640598996557</c:v>
                </c:pt>
                <c:pt idx="6">
                  <c:v>0.53409214479337319</c:v>
                </c:pt>
                <c:pt idx="7">
                  <c:v>0.53512976819716263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8C-4759-9898-DE99F61DE1F0}"/>
            </c:ext>
          </c:extLst>
        </c:ser>
        <c:ser>
          <c:idx val="1"/>
          <c:order val="1"/>
          <c:tx>
            <c:strRef>
              <c:f>'KPI Dashboard'!$R$10</c:f>
              <c:strCache>
                <c:ptCount val="1"/>
                <c:pt idx="0">
                  <c:v>Operating Margin %</c:v>
                </c:pt>
              </c:strCache>
            </c:strRef>
          </c:tx>
          <c:spPr>
            <a:ln w="28575">
              <a:solidFill>
                <a:srgbClr val="C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Dashboard'!$S$10:$Z$10</c:f>
              <c:numCache>
                <c:formatCode>0.0%</c:formatCode>
                <c:ptCount val="8"/>
                <c:pt idx="0">
                  <c:v>2.8977132203776321E-2</c:v>
                </c:pt>
                <c:pt idx="1">
                  <c:v>9.4797017141169171E-2</c:v>
                </c:pt>
                <c:pt idx="2">
                  <c:v>7.343224237865284E-2</c:v>
                </c:pt>
                <c:pt idx="3">
                  <c:v>9.809405647908552E-2</c:v>
                </c:pt>
                <c:pt idx="4">
                  <c:v>0.10081632439180939</c:v>
                </c:pt>
                <c:pt idx="5">
                  <c:v>0.10406640598996557</c:v>
                </c:pt>
                <c:pt idx="6">
                  <c:v>0.10509214479337316</c:v>
                </c:pt>
                <c:pt idx="7">
                  <c:v>0.10612976819716256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8C-4759-9898-DE99F61DE1F0}"/>
            </c:ext>
          </c:extLst>
        </c:ser>
        <c:ser>
          <c:idx val="2"/>
          <c:order val="2"/>
          <c:tx>
            <c:strRef>
              <c:f>'KPI Dashboard'!$R$11</c:f>
              <c:strCache>
                <c:ptCount val="1"/>
                <c:pt idx="0">
                  <c:v>Net Margin %</c:v>
                </c:pt>
              </c:strCache>
            </c:strRef>
          </c:tx>
          <c:spPr>
            <a:ln w="28575">
              <a:solidFill>
                <a:srgbClr val="70AD47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70AD47"/>
              </a:solidFill>
              <a:ln>
                <a:prstDash val="solid"/>
              </a:ln>
            </c:spPr>
          </c:marker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Dashboard'!$S$11:$Z$11</c:f>
              <c:numCache>
                <c:formatCode>0.0%</c:formatCode>
                <c:ptCount val="8"/>
                <c:pt idx="0">
                  <c:v>2.1364576602532909E-2</c:v>
                </c:pt>
                <c:pt idx="1">
                  <c:v>0.11750886027484443</c:v>
                </c:pt>
                <c:pt idx="2">
                  <c:v>5.0107528326090896E-2</c:v>
                </c:pt>
                <c:pt idx="3">
                  <c:v>6.8221958511273648E-2</c:v>
                </c:pt>
                <c:pt idx="4">
                  <c:v>7.1295124920409514E-2</c:v>
                </c:pt>
                <c:pt idx="5">
                  <c:v>6.7568576232061014E-2</c:v>
                </c:pt>
                <c:pt idx="6">
                  <c:v>6.8678454548830148E-2</c:v>
                </c:pt>
                <c:pt idx="7">
                  <c:v>6.9730339581457496E-2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8C-4759-9898-DE99F61DE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0.6"/>
          <c:min val="0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Working Capital Days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'KPI Dashboard'!$R$12</c:f>
              <c:strCache>
                <c:ptCount val="1"/>
                <c:pt idx="0">
                  <c:v>DSO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Dashboard'!$S$12:$Z$12</c:f>
              <c:numCache>
                <c:formatCode>0.0</c:formatCode>
                <c:ptCount val="8"/>
                <c:pt idx="0">
                  <c:v>49.036606378203118</c:v>
                </c:pt>
                <c:pt idx="1">
                  <c:v>42.386921752569023</c:v>
                </c:pt>
                <c:pt idx="2">
                  <c:v>41.590795279768422</c:v>
                </c:pt>
                <c:pt idx="3">
                  <c:v>39.249509583465304</c:v>
                </c:pt>
                <c:pt idx="4">
                  <c:v>40.309903135689531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1-4241-8711-43AC0FA0EBB8}"/>
            </c:ext>
          </c:extLst>
        </c:ser>
        <c:ser>
          <c:idx val="1"/>
          <c:order val="1"/>
          <c:tx>
            <c:strRef>
              <c:f>'KPI Dashboard'!$R$13</c:f>
              <c:strCache>
                <c:ptCount val="1"/>
                <c:pt idx="0">
                  <c:v>DIO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Dashboard'!$S$13:$Z$13</c:f>
              <c:numCache>
                <c:formatCode>0.0</c:formatCode>
                <c:ptCount val="8"/>
                <c:pt idx="0">
                  <c:v>154.14413658560088</c:v>
                </c:pt>
                <c:pt idx="1">
                  <c:v>168.5322195217114</c:v>
                </c:pt>
                <c:pt idx="2">
                  <c:v>168.88349337892029</c:v>
                </c:pt>
                <c:pt idx="3">
                  <c:v>144.69419335758531</c:v>
                </c:pt>
                <c:pt idx="4">
                  <c:v>166.72788244970386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1-4241-8711-43AC0FA0EBB8}"/>
            </c:ext>
          </c:extLst>
        </c:ser>
        <c:ser>
          <c:idx val="2"/>
          <c:order val="2"/>
          <c:tx>
            <c:strRef>
              <c:f>'KPI Dashboard'!$R$14</c:f>
              <c:strCache>
                <c:ptCount val="1"/>
                <c:pt idx="0">
                  <c:v>DPO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Dashboard'!$S$5:$Z$5</c:f>
              <c:strCache>
                <c:ptCount val="8"/>
                <c:pt idx="0">
                  <c:v>FY2020</c:v>
                </c:pt>
                <c:pt idx="1">
                  <c:v>FY2021</c:v>
                </c:pt>
                <c:pt idx="2">
                  <c:v>FY2022</c:v>
                </c:pt>
                <c:pt idx="3">
                  <c:v>FY2023</c:v>
                </c:pt>
                <c:pt idx="4">
                  <c:v>FY2024</c:v>
                </c:pt>
                <c:pt idx="5">
                  <c:v>FY2025E</c:v>
                </c:pt>
                <c:pt idx="6">
                  <c:v>FY2026E</c:v>
                </c:pt>
                <c:pt idx="7">
                  <c:v>FY2027E</c:v>
                </c:pt>
              </c:strCache>
            </c:strRef>
          </c:cat>
          <c:val>
            <c:numRef>
              <c:f>'KPI Dashboard'!$S$14:$Z$14</c:f>
              <c:numCache>
                <c:formatCode>0.0</c:formatCode>
                <c:ptCount val="8"/>
                <c:pt idx="0">
                  <c:v>112.80295003432833</c:v>
                </c:pt>
                <c:pt idx="1">
                  <c:v>100.40276324722984</c:v>
                </c:pt>
                <c:pt idx="2">
                  <c:v>88.93560586105086</c:v>
                </c:pt>
                <c:pt idx="3">
                  <c:v>95.61494104114982</c:v>
                </c:pt>
                <c:pt idx="4">
                  <c:v>107.87252803009677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1-4241-8711-43AC0FA0E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Free Cash Flow: FY2024 → FY2025E ($000s)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'KPI Dashboard'!$W$5:$X$5</c:f>
              <c:strCache>
                <c:ptCount val="2"/>
                <c:pt idx="0">
                  <c:v>FY2024</c:v>
                </c:pt>
                <c:pt idx="1">
                  <c:v>FY2025E</c:v>
                </c:pt>
              </c:strCache>
            </c:strRef>
          </c:cat>
          <c:val>
            <c:numRef>
              <c:f>'KPI Dashboard'!$W$17:$X$17</c:f>
              <c:numCache>
                <c:formatCode>#,##0;\(#,##0\);\-</c:formatCode>
                <c:ptCount val="2"/>
                <c:pt idx="0">
                  <c:v>270599.99999999994</c:v>
                </c:pt>
                <c:pt idx="1">
                  <c:v>343841.0427191786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B-4A0D-B6DA-3AE9E3FE3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;\(#,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FY2025 Scenario Comparison: Net Earnings &amp; FCF ($000s)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'KPI Dashboard'!$S$19</c:f>
              <c:strCache>
                <c:ptCount val="1"/>
                <c:pt idx="0">
                  <c:v>Net Earnings (SKX)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Dashboard'!$R$20:$R$22</c:f>
              <c:strCache>
                <c:ptCount val="3"/>
                <c:pt idx="0">
                  <c:v>Bear</c:v>
                </c:pt>
                <c:pt idx="1">
                  <c:v>Base</c:v>
                </c:pt>
                <c:pt idx="2">
                  <c:v>Bull</c:v>
                </c:pt>
              </c:strCache>
            </c:strRef>
          </c:cat>
          <c:val>
            <c:numRef>
              <c:f>'KPI Dashboard'!$S$20:$S$22</c:f>
              <c:numCache>
                <c:formatCode>#,##0;\(#,##0\);\-</c:formatCode>
                <c:ptCount val="3"/>
                <c:pt idx="0">
                  <c:v>378968.16188000003</c:v>
                </c:pt>
                <c:pt idx="1">
                  <c:v>659761.87595999998</c:v>
                </c:pt>
                <c:pt idx="2">
                  <c:v>911908.90190399997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C-434C-8A07-0ECC13458956}"/>
            </c:ext>
          </c:extLst>
        </c:ser>
        <c:ser>
          <c:idx val="1"/>
          <c:order val="1"/>
          <c:tx>
            <c:strRef>
              <c:f>'KPI Dashboard'!$T$19</c:f>
              <c:strCache>
                <c:ptCount val="1"/>
                <c:pt idx="0">
                  <c:v>Free Cash Flow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'KPI Dashboard'!$R$20:$R$22</c:f>
              <c:strCache>
                <c:ptCount val="3"/>
                <c:pt idx="0">
                  <c:v>Bear</c:v>
                </c:pt>
                <c:pt idx="1">
                  <c:v>Base</c:v>
                </c:pt>
                <c:pt idx="2">
                  <c:v>Bull</c:v>
                </c:pt>
              </c:strCache>
            </c:strRef>
          </c:cat>
          <c:val>
            <c:numRef>
              <c:f>'KPI Dashboard'!$T$20:$T$22</c:f>
              <c:numCache>
                <c:formatCode>#,##0;\(#,##0\);\-</c:formatCode>
                <c:ptCount val="3"/>
                <c:pt idx="0">
                  <c:v>208515.503788</c:v>
                </c:pt>
                <c:pt idx="1">
                  <c:v>343841.04271900002</c:v>
                </c:pt>
                <c:pt idx="2">
                  <c:v>480461.55877300003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2C-434C-8A07-0ECC13458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;\(#,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39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14</xdr:row>
      <xdr:rowOff>0</xdr:rowOff>
    </xdr:from>
    <xdr:ext cx="396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29</xdr:row>
      <xdr:rowOff>0</xdr:rowOff>
    </xdr:from>
    <xdr:ext cx="3960000" cy="252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0</xdr:colOff>
      <xdr:row>29</xdr:row>
      <xdr:rowOff>0</xdr:rowOff>
    </xdr:from>
    <xdr:ext cx="3960000" cy="252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8</xdr:col>
      <xdr:colOff>0</xdr:colOff>
      <xdr:row>44</xdr:row>
      <xdr:rowOff>0</xdr:rowOff>
    </xdr:from>
    <xdr:ext cx="3960000" cy="252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workbookViewId="0"/>
  </sheetViews>
  <sheetFormatPr defaultRowHeight="14.4" x14ac:dyDescent="0.3"/>
  <cols>
    <col min="1" max="2" width="22" customWidth="1"/>
    <col min="3" max="7" width="16" customWidth="1"/>
  </cols>
  <sheetData>
    <row r="1" spans="1:7" ht="30" customHeight="1" x14ac:dyDescent="0.3">
      <c r="A1" s="177" t="s">
        <v>54</v>
      </c>
      <c r="B1" s="167"/>
      <c r="C1" s="167"/>
      <c r="D1" s="167"/>
      <c r="E1" s="167"/>
      <c r="F1" s="167"/>
      <c r="G1" s="167"/>
    </row>
    <row r="2" spans="1:7" ht="18" customHeight="1" x14ac:dyDescent="0.3">
      <c r="A2" s="179" t="s">
        <v>55</v>
      </c>
      <c r="B2" s="167"/>
      <c r="C2" s="167"/>
      <c r="D2" s="167"/>
      <c r="E2" s="167"/>
      <c r="F2" s="167"/>
      <c r="G2" s="167"/>
    </row>
    <row r="3" spans="1:7" x14ac:dyDescent="0.3">
      <c r="A3" s="178" t="s">
        <v>56</v>
      </c>
      <c r="B3" s="167"/>
      <c r="C3" s="167"/>
      <c r="D3" s="167"/>
      <c r="E3" s="167"/>
      <c r="F3" s="167"/>
      <c r="G3" s="167"/>
    </row>
    <row r="5" spans="1:7" ht="22.05" customHeight="1" x14ac:dyDescent="0.3">
      <c r="A5" s="172" t="s">
        <v>57</v>
      </c>
      <c r="B5" s="167"/>
      <c r="C5" s="167"/>
      <c r="D5" s="167"/>
      <c r="E5" s="167"/>
      <c r="F5" s="167"/>
      <c r="G5" s="167"/>
    </row>
    <row r="6" spans="1:7" ht="48" customHeight="1" x14ac:dyDescent="0.3">
      <c r="A6" s="173" t="s">
        <v>58</v>
      </c>
      <c r="B6" s="167"/>
      <c r="C6" s="167"/>
      <c r="D6" s="167"/>
      <c r="E6" s="167"/>
      <c r="F6" s="167"/>
      <c r="G6" s="167"/>
    </row>
    <row r="7" spans="1:7" ht="48" customHeight="1" x14ac:dyDescent="0.3">
      <c r="A7" s="167"/>
      <c r="B7" s="167"/>
      <c r="C7" s="167"/>
      <c r="D7" s="167"/>
      <c r="E7" s="167"/>
      <c r="F7" s="167"/>
      <c r="G7" s="167"/>
    </row>
    <row r="9" spans="1:7" ht="22.05" customHeight="1" x14ac:dyDescent="0.3">
      <c r="A9" s="172" t="s">
        <v>59</v>
      </c>
      <c r="B9" s="167"/>
      <c r="C9" s="167"/>
      <c r="D9" s="167"/>
      <c r="E9" s="167"/>
      <c r="F9" s="167"/>
      <c r="G9" s="167"/>
    </row>
    <row r="10" spans="1:7" x14ac:dyDescent="0.3">
      <c r="A10" s="156" t="s">
        <v>60</v>
      </c>
      <c r="B10" s="174" t="s">
        <v>61</v>
      </c>
      <c r="C10" s="175"/>
      <c r="D10" s="175"/>
      <c r="E10" s="175"/>
      <c r="F10" s="175"/>
      <c r="G10" s="175"/>
    </row>
    <row r="11" spans="1:7" ht="19.95" customHeight="1" x14ac:dyDescent="0.3">
      <c r="A11" s="157" t="s">
        <v>62</v>
      </c>
      <c r="B11" s="170" t="s">
        <v>63</v>
      </c>
      <c r="C11" s="171"/>
      <c r="D11" s="171"/>
      <c r="E11" s="171"/>
      <c r="F11" s="171"/>
      <c r="G11" s="171"/>
    </row>
    <row r="12" spans="1:7" ht="19.95" customHeight="1" x14ac:dyDescent="0.3">
      <c r="A12" s="157" t="s">
        <v>64</v>
      </c>
      <c r="B12" s="170" t="s">
        <v>65</v>
      </c>
      <c r="C12" s="171"/>
      <c r="D12" s="171"/>
      <c r="E12" s="171"/>
      <c r="F12" s="171"/>
      <c r="G12" s="171"/>
    </row>
    <row r="13" spans="1:7" ht="19.95" customHeight="1" x14ac:dyDescent="0.3">
      <c r="A13" s="157" t="s">
        <v>66</v>
      </c>
      <c r="B13" s="170" t="s">
        <v>67</v>
      </c>
      <c r="C13" s="171"/>
      <c r="D13" s="171"/>
      <c r="E13" s="171"/>
      <c r="F13" s="171"/>
      <c r="G13" s="171"/>
    </row>
    <row r="14" spans="1:7" ht="19.95" customHeight="1" x14ac:dyDescent="0.3">
      <c r="A14" s="157" t="s">
        <v>68</v>
      </c>
      <c r="B14" s="170" t="s">
        <v>69</v>
      </c>
      <c r="C14" s="171"/>
      <c r="D14" s="171"/>
      <c r="E14" s="171"/>
      <c r="F14" s="171"/>
      <c r="G14" s="171"/>
    </row>
    <row r="15" spans="1:7" ht="19.95" customHeight="1" x14ac:dyDescent="0.3">
      <c r="A15" s="157" t="s">
        <v>70</v>
      </c>
      <c r="B15" s="170" t="s">
        <v>71</v>
      </c>
      <c r="C15" s="171"/>
      <c r="D15" s="171"/>
      <c r="E15" s="171"/>
      <c r="F15" s="171"/>
      <c r="G15" s="171"/>
    </row>
    <row r="16" spans="1:7" ht="19.95" customHeight="1" x14ac:dyDescent="0.3">
      <c r="A16" s="157" t="s">
        <v>72</v>
      </c>
      <c r="B16" s="170" t="s">
        <v>73</v>
      </c>
      <c r="C16" s="171"/>
      <c r="D16" s="171"/>
      <c r="E16" s="171"/>
      <c r="F16" s="171"/>
      <c r="G16" s="171"/>
    </row>
    <row r="17" spans="1:7" ht="19.95" customHeight="1" x14ac:dyDescent="0.3">
      <c r="A17" s="157" t="s">
        <v>74</v>
      </c>
      <c r="B17" s="170" t="s">
        <v>75</v>
      </c>
      <c r="C17" s="171"/>
      <c r="D17" s="171"/>
      <c r="E17" s="171"/>
      <c r="F17" s="171"/>
      <c r="G17" s="171"/>
    </row>
    <row r="18" spans="1:7" ht="19.95" customHeight="1" x14ac:dyDescent="0.3">
      <c r="A18" s="157" t="s">
        <v>76</v>
      </c>
      <c r="B18" s="170" t="s">
        <v>77</v>
      </c>
      <c r="C18" s="171"/>
      <c r="D18" s="171"/>
      <c r="E18" s="171"/>
      <c r="F18" s="171"/>
      <c r="G18" s="171"/>
    </row>
    <row r="19" spans="1:7" ht="19.95" customHeight="1" x14ac:dyDescent="0.3">
      <c r="A19" s="157" t="s">
        <v>78</v>
      </c>
      <c r="B19" s="170" t="s">
        <v>79</v>
      </c>
      <c r="C19" s="171"/>
      <c r="D19" s="171"/>
      <c r="E19" s="171"/>
      <c r="F19" s="171"/>
      <c r="G19" s="171"/>
    </row>
    <row r="20" spans="1:7" ht="19.95" customHeight="1" x14ac:dyDescent="0.3">
      <c r="A20" s="157" t="s">
        <v>80</v>
      </c>
      <c r="B20" s="170" t="s">
        <v>81</v>
      </c>
      <c r="C20" s="171"/>
      <c r="D20" s="171"/>
      <c r="E20" s="171"/>
      <c r="F20" s="171"/>
      <c r="G20" s="171"/>
    </row>
    <row r="22" spans="1:7" ht="22.05" customHeight="1" x14ac:dyDescent="0.3">
      <c r="A22" s="172" t="s">
        <v>82</v>
      </c>
      <c r="B22" s="167"/>
      <c r="C22" s="167"/>
      <c r="D22" s="167"/>
      <c r="E22" s="167"/>
      <c r="F22" s="167"/>
      <c r="G22" s="167"/>
    </row>
    <row r="23" spans="1:7" ht="19.95" customHeight="1" x14ac:dyDescent="0.3">
      <c r="A23" s="158" t="s">
        <v>83</v>
      </c>
      <c r="B23" s="169" t="s">
        <v>84</v>
      </c>
      <c r="C23" s="167"/>
      <c r="D23" s="167"/>
      <c r="E23" s="167"/>
      <c r="F23" s="167"/>
      <c r="G23" s="167"/>
    </row>
    <row r="24" spans="1:7" ht="19.95" customHeight="1" x14ac:dyDescent="0.3">
      <c r="A24" s="160" t="s">
        <v>85</v>
      </c>
      <c r="B24" s="169" t="s">
        <v>86</v>
      </c>
      <c r="C24" s="167"/>
      <c r="D24" s="167"/>
      <c r="E24" s="167"/>
      <c r="F24" s="167"/>
      <c r="G24" s="167"/>
    </row>
    <row r="25" spans="1:7" ht="19.95" customHeight="1" x14ac:dyDescent="0.3">
      <c r="A25" s="161" t="s">
        <v>87</v>
      </c>
      <c r="B25" s="169" t="s">
        <v>88</v>
      </c>
      <c r="C25" s="167"/>
      <c r="D25" s="167"/>
      <c r="E25" s="167"/>
      <c r="F25" s="167"/>
      <c r="G25" s="167"/>
    </row>
    <row r="26" spans="1:7" ht="19.95" customHeight="1" x14ac:dyDescent="0.3">
      <c r="A26" s="162" t="s">
        <v>89</v>
      </c>
      <c r="B26" s="169" t="s">
        <v>90</v>
      </c>
      <c r="C26" s="167"/>
      <c r="D26" s="167"/>
      <c r="E26" s="167"/>
      <c r="F26" s="167"/>
      <c r="G26" s="167"/>
    </row>
    <row r="28" spans="1:7" ht="22.05" customHeight="1" x14ac:dyDescent="0.3">
      <c r="A28" s="172" t="s">
        <v>91</v>
      </c>
      <c r="B28" s="167"/>
      <c r="C28" s="167"/>
      <c r="D28" s="167"/>
      <c r="E28" s="167"/>
      <c r="F28" s="167"/>
      <c r="G28" s="167"/>
    </row>
    <row r="29" spans="1:7" ht="22.05" customHeight="1" x14ac:dyDescent="0.3">
      <c r="A29" s="169" t="s">
        <v>92</v>
      </c>
      <c r="B29" s="167"/>
      <c r="C29" s="167"/>
      <c r="D29" s="167"/>
      <c r="E29" s="167"/>
      <c r="F29" s="167"/>
      <c r="G29" s="167"/>
    </row>
    <row r="31" spans="1:7" ht="22.05" customHeight="1" x14ac:dyDescent="0.3">
      <c r="A31" s="172" t="s">
        <v>93</v>
      </c>
      <c r="B31" s="167"/>
      <c r="C31" s="167"/>
      <c r="D31" s="167"/>
      <c r="E31" s="167"/>
      <c r="F31" s="167"/>
      <c r="G31" s="167"/>
    </row>
    <row r="32" spans="1:7" ht="36" customHeight="1" x14ac:dyDescent="0.3">
      <c r="A32" s="169" t="s">
        <v>94</v>
      </c>
      <c r="B32" s="167"/>
      <c r="C32" s="167"/>
      <c r="D32" s="167"/>
      <c r="E32" s="167"/>
      <c r="F32" s="167"/>
      <c r="G32" s="167"/>
    </row>
    <row r="33" spans="1:7" ht="36" customHeight="1" x14ac:dyDescent="0.3">
      <c r="A33" s="169" t="s">
        <v>95</v>
      </c>
      <c r="B33" s="167"/>
      <c r="C33" s="167"/>
      <c r="D33" s="167"/>
      <c r="E33" s="167"/>
      <c r="F33" s="167"/>
      <c r="G33" s="167"/>
    </row>
    <row r="34" spans="1:7" ht="36" customHeight="1" x14ac:dyDescent="0.3">
      <c r="A34" s="169" t="s">
        <v>96</v>
      </c>
      <c r="B34" s="167"/>
      <c r="C34" s="167"/>
      <c r="D34" s="167"/>
      <c r="E34" s="167"/>
      <c r="F34" s="167"/>
      <c r="G34" s="167"/>
    </row>
    <row r="36" spans="1:7" ht="22.05" customHeight="1" x14ac:dyDescent="0.3">
      <c r="A36" s="172" t="s">
        <v>97</v>
      </c>
      <c r="B36" s="167"/>
      <c r="C36" s="167"/>
      <c r="D36" s="167"/>
      <c r="E36" s="167"/>
      <c r="F36" s="167"/>
      <c r="G36" s="167"/>
    </row>
    <row r="37" spans="1:7" ht="19.95" customHeight="1" x14ac:dyDescent="0.3">
      <c r="B37" s="163" t="s">
        <v>98</v>
      </c>
      <c r="C37" s="164" t="s">
        <v>99</v>
      </c>
      <c r="D37" s="164" t="s">
        <v>100</v>
      </c>
      <c r="E37" s="164" t="s">
        <v>101</v>
      </c>
    </row>
    <row r="38" spans="1:7" ht="22.05" customHeight="1" x14ac:dyDescent="0.3">
      <c r="B38" s="159" t="s">
        <v>102</v>
      </c>
      <c r="C38" s="165" t="str">
        <f>IF(ABS(BS_BalanceCheck_25)&lt;1,"PASS","FAIL")</f>
        <v>PASS</v>
      </c>
      <c r="D38" s="165" t="str">
        <f>IF(ABS(BS_BalanceCheck_26)&lt;1,"PASS","FAIL")</f>
        <v>PASS</v>
      </c>
      <c r="E38" s="165" t="str">
        <f>IF(ABS(BS_BalanceCheck_27)&lt;1,"PASS","FAIL")</f>
        <v>PASS</v>
      </c>
    </row>
    <row r="39" spans="1:7" ht="22.05" customHeight="1" x14ac:dyDescent="0.3">
      <c r="B39" s="159" t="s">
        <v>103</v>
      </c>
      <c r="C39" s="165" t="str">
        <f>IF(ABS(CF_TieCheck_25)&lt;1,"PASS","FAIL")</f>
        <v>PASS</v>
      </c>
      <c r="D39" s="165" t="str">
        <f>IF(ABS(CF_TieCheck_26)&lt;1,"PASS","FAIL")</f>
        <v>PASS</v>
      </c>
      <c r="E39" s="165" t="str">
        <f>IF(ABS(CF_TieCheck_27)&lt;1,"PASS","FAIL")</f>
        <v>PASS</v>
      </c>
    </row>
    <row r="40" spans="1:7" ht="16.05" customHeight="1" x14ac:dyDescent="0.3">
      <c r="A40" s="176" t="s">
        <v>104</v>
      </c>
      <c r="B40" s="167"/>
      <c r="C40" s="167"/>
      <c r="D40" s="167"/>
      <c r="E40" s="167"/>
      <c r="F40" s="167"/>
      <c r="G40" s="167"/>
    </row>
    <row r="42" spans="1:7" ht="22.05" customHeight="1" x14ac:dyDescent="0.3">
      <c r="A42" s="172" t="s">
        <v>105</v>
      </c>
      <c r="B42" s="167"/>
      <c r="C42" s="167"/>
      <c r="D42" s="167"/>
      <c r="E42" s="167"/>
      <c r="F42" s="167"/>
      <c r="G42" s="167"/>
    </row>
    <row r="43" spans="1:7" ht="30" customHeight="1" x14ac:dyDescent="0.3">
      <c r="A43" s="169" t="s">
        <v>106</v>
      </c>
      <c r="B43" s="167"/>
      <c r="C43" s="167"/>
      <c r="D43" s="167"/>
      <c r="E43" s="167"/>
      <c r="F43" s="167"/>
      <c r="G43" s="167"/>
    </row>
    <row r="44" spans="1:7" ht="30" customHeight="1" x14ac:dyDescent="0.3">
      <c r="A44" s="169" t="s">
        <v>107</v>
      </c>
      <c r="B44" s="167"/>
      <c r="C44" s="167"/>
      <c r="D44" s="167"/>
      <c r="E44" s="167"/>
      <c r="F44" s="167"/>
      <c r="G44" s="167"/>
    </row>
    <row r="45" spans="1:7" ht="30" customHeight="1" x14ac:dyDescent="0.3">
      <c r="A45" s="169" t="s">
        <v>108</v>
      </c>
      <c r="B45" s="167"/>
      <c r="C45" s="167"/>
      <c r="D45" s="167"/>
      <c r="E45" s="167"/>
      <c r="F45" s="167"/>
      <c r="G45" s="167"/>
    </row>
    <row r="46" spans="1:7" ht="30" customHeight="1" x14ac:dyDescent="0.3">
      <c r="A46" s="169" t="s">
        <v>109</v>
      </c>
      <c r="B46" s="167"/>
      <c r="C46" s="167"/>
      <c r="D46" s="167"/>
      <c r="E46" s="167"/>
      <c r="F46" s="167"/>
      <c r="G46" s="167"/>
    </row>
  </sheetData>
  <mergeCells count="35">
    <mergeCell ref="A46:G46"/>
    <mergeCell ref="B16:G16"/>
    <mergeCell ref="A3:G3"/>
    <mergeCell ref="A2:G2"/>
    <mergeCell ref="B12:G12"/>
    <mergeCell ref="B18:G18"/>
    <mergeCell ref="A33:G33"/>
    <mergeCell ref="B11:G11"/>
    <mergeCell ref="A45:G45"/>
    <mergeCell ref="B24:G24"/>
    <mergeCell ref="A36:G36"/>
    <mergeCell ref="B20:G20"/>
    <mergeCell ref="A1:G1"/>
    <mergeCell ref="B26:G26"/>
    <mergeCell ref="B25:G25"/>
    <mergeCell ref="A44:G44"/>
    <mergeCell ref="B10:G10"/>
    <mergeCell ref="A40:G40"/>
    <mergeCell ref="A9:G9"/>
    <mergeCell ref="A31:G31"/>
    <mergeCell ref="A34:G34"/>
    <mergeCell ref="B15:G15"/>
    <mergeCell ref="A5:G5"/>
    <mergeCell ref="A29:G29"/>
    <mergeCell ref="B13:G13"/>
    <mergeCell ref="A42:G42"/>
    <mergeCell ref="A43:G43"/>
    <mergeCell ref="A28:G28"/>
    <mergeCell ref="A6:G7"/>
    <mergeCell ref="B19:G19"/>
    <mergeCell ref="A32:G32"/>
    <mergeCell ref="B14:G14"/>
    <mergeCell ref="A22:G22"/>
    <mergeCell ref="B17:G17"/>
    <mergeCell ref="B23:G23"/>
  </mergeCells>
  <conditionalFormatting sqref="C38:E39">
    <cfRule type="cellIs" dxfId="15" priority="1" operator="equal">
      <formula>"PASS"</formula>
    </cfRule>
    <cfRule type="cellIs" dxfId="14" priority="2" operator="equal">
      <formula>"FAIL"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38" customWidth="1"/>
    <col min="2" max="7" width="16" customWidth="1"/>
  </cols>
  <sheetData>
    <row r="1" spans="1:7" ht="17.25" customHeight="1" x14ac:dyDescent="0.3">
      <c r="A1" s="1" t="s">
        <v>0</v>
      </c>
    </row>
    <row r="2" spans="1:7" ht="15" customHeight="1" x14ac:dyDescent="0.3">
      <c r="A2" s="2" t="s">
        <v>110</v>
      </c>
    </row>
    <row r="3" spans="1:7" ht="15" customHeight="1" x14ac:dyDescent="0.3">
      <c r="A3" s="3" t="s">
        <v>111</v>
      </c>
    </row>
    <row r="5" spans="1:7" ht="15" customHeight="1" x14ac:dyDescent="0.3">
      <c r="A5" s="4"/>
      <c r="B5" s="4" t="s">
        <v>112</v>
      </c>
      <c r="C5" s="4" t="s">
        <v>113</v>
      </c>
      <c r="D5" s="4" t="s">
        <v>114</v>
      </c>
      <c r="E5" s="4" t="s">
        <v>115</v>
      </c>
      <c r="F5" s="4" t="s">
        <v>116</v>
      </c>
      <c r="G5" s="4" t="s">
        <v>117</v>
      </c>
    </row>
    <row r="7" spans="1:7" ht="15" customHeight="1" x14ac:dyDescent="0.3">
      <c r="A7" s="5" t="s">
        <v>118</v>
      </c>
      <c r="B7" s="6"/>
      <c r="C7" s="6"/>
      <c r="D7" s="6"/>
      <c r="E7" s="6"/>
      <c r="F7" s="6"/>
      <c r="G7" s="6"/>
    </row>
    <row r="8" spans="1:7" ht="15" customHeight="1" x14ac:dyDescent="0.3">
      <c r="A8" s="7" t="s">
        <v>119</v>
      </c>
      <c r="B8" s="8">
        <v>4613431</v>
      </c>
      <c r="C8" s="8">
        <v>6310188</v>
      </c>
      <c r="D8" s="8">
        <v>7444550</v>
      </c>
      <c r="E8" s="8">
        <v>8000342</v>
      </c>
      <c r="F8" s="8">
        <v>8969351</v>
      </c>
      <c r="G8" s="3" t="s">
        <v>120</v>
      </c>
    </row>
    <row r="9" spans="1:7" ht="15" customHeight="1" x14ac:dyDescent="0.3">
      <c r="A9" s="9" t="s">
        <v>121</v>
      </c>
      <c r="B9" s="10">
        <v>2407633</v>
      </c>
      <c r="C9" s="10">
        <v>3185817</v>
      </c>
      <c r="D9" s="10">
        <v>3929193</v>
      </c>
      <c r="E9" s="10">
        <v>3847938</v>
      </c>
      <c r="F9" s="10">
        <v>4201912</v>
      </c>
      <c r="G9" s="3" t="s">
        <v>120</v>
      </c>
    </row>
    <row r="10" spans="1:7" ht="15" customHeight="1" x14ac:dyDescent="0.3">
      <c r="A10" s="7" t="s">
        <v>38</v>
      </c>
      <c r="B10" s="8">
        <v>2205798</v>
      </c>
      <c r="C10" s="8">
        <v>3124371</v>
      </c>
      <c r="D10" s="8">
        <v>3515357</v>
      </c>
      <c r="E10" s="8">
        <v>4152404</v>
      </c>
      <c r="F10" s="8">
        <v>4767439</v>
      </c>
      <c r="G10" s="3" t="s">
        <v>122</v>
      </c>
    </row>
    <row r="11" spans="1:7" ht="15" customHeight="1" x14ac:dyDescent="0.3">
      <c r="A11" s="11" t="s">
        <v>9</v>
      </c>
      <c r="B11" s="12">
        <f>B10/B8</f>
        <v>0.47812528246331198</v>
      </c>
      <c r="C11" s="12">
        <f>C10/C8</f>
        <v>0.49513120686737067</v>
      </c>
      <c r="D11" s="12">
        <f>D10/D8</f>
        <v>0.47220543887810545</v>
      </c>
      <c r="E11" s="12">
        <f>E10/E8</f>
        <v>0.51902831153968165</v>
      </c>
      <c r="F11" s="12">
        <f>F10/F8</f>
        <v>0.53152552509094586</v>
      </c>
      <c r="G11" s="3" t="s">
        <v>122</v>
      </c>
    </row>
    <row r="13" spans="1:7" ht="15" customHeight="1" x14ac:dyDescent="0.3">
      <c r="A13" s="9" t="s">
        <v>123</v>
      </c>
      <c r="B13" s="10">
        <v>351471</v>
      </c>
      <c r="C13" s="10">
        <v>499532</v>
      </c>
      <c r="D13" s="10">
        <v>583626</v>
      </c>
      <c r="E13" s="10">
        <v>676890</v>
      </c>
      <c r="F13" s="10">
        <v>800634</v>
      </c>
      <c r="G13" s="3" t="s">
        <v>120</v>
      </c>
    </row>
    <row r="14" spans="1:7" ht="15" customHeight="1" x14ac:dyDescent="0.3">
      <c r="A14" s="9" t="s">
        <v>124</v>
      </c>
      <c r="B14" s="10">
        <v>1720643</v>
      </c>
      <c r="C14" s="10">
        <v>2026652</v>
      </c>
      <c r="D14" s="10">
        <v>2385061</v>
      </c>
      <c r="E14" s="10">
        <v>2690728</v>
      </c>
      <c r="F14" s="10">
        <v>3062548</v>
      </c>
      <c r="G14" s="3" t="s">
        <v>120</v>
      </c>
    </row>
    <row r="15" spans="1:7" ht="15" customHeight="1" x14ac:dyDescent="0.3">
      <c r="A15" s="7" t="s">
        <v>125</v>
      </c>
      <c r="B15" s="8">
        <v>2072114</v>
      </c>
      <c r="C15" s="8">
        <v>2526184</v>
      </c>
      <c r="D15" s="8">
        <v>2968687</v>
      </c>
      <c r="E15" s="8">
        <v>3367618</v>
      </c>
      <c r="F15" s="8">
        <v>3863182</v>
      </c>
      <c r="G15" s="3" t="s">
        <v>122</v>
      </c>
    </row>
    <row r="17" spans="1:7" ht="15" customHeight="1" x14ac:dyDescent="0.3">
      <c r="A17" s="7" t="s">
        <v>126</v>
      </c>
      <c r="B17" s="8">
        <v>133684</v>
      </c>
      <c r="C17" s="8">
        <v>598187</v>
      </c>
      <c r="D17" s="8">
        <v>546670</v>
      </c>
      <c r="E17" s="8">
        <v>784786</v>
      </c>
      <c r="F17" s="8">
        <v>904257</v>
      </c>
      <c r="G17" s="3" t="s">
        <v>122</v>
      </c>
    </row>
    <row r="18" spans="1:7" ht="15" customHeight="1" x14ac:dyDescent="0.3">
      <c r="A18" s="13" t="s">
        <v>10</v>
      </c>
      <c r="B18" s="12">
        <f>B17/B8</f>
        <v>2.8977132203776321E-2</v>
      </c>
      <c r="C18" s="12">
        <f>C17/C8</f>
        <v>9.4797017141169171E-2</v>
      </c>
      <c r="D18" s="12">
        <f>D17/D8</f>
        <v>7.343224237865284E-2</v>
      </c>
      <c r="E18" s="12">
        <f>E17/E8</f>
        <v>9.809405647908552E-2</v>
      </c>
      <c r="F18" s="12">
        <f>F17/F8</f>
        <v>0.10081632439180939</v>
      </c>
      <c r="G18" s="3" t="s">
        <v>122</v>
      </c>
    </row>
    <row r="20" spans="1:7" ht="15" customHeight="1" x14ac:dyDescent="0.3">
      <c r="A20" s="9" t="s">
        <v>23</v>
      </c>
      <c r="B20" s="10">
        <v>21045</v>
      </c>
      <c r="C20" s="10">
        <v>-28430</v>
      </c>
      <c r="D20" s="10">
        <v>-24413</v>
      </c>
      <c r="E20" s="10">
        <v>16086</v>
      </c>
      <c r="F20" s="10">
        <v>-26508</v>
      </c>
      <c r="G20" s="3" t="s">
        <v>120</v>
      </c>
    </row>
    <row r="21" spans="1:7" ht="15" customHeight="1" x14ac:dyDescent="0.3">
      <c r="A21" s="7" t="s">
        <v>127</v>
      </c>
      <c r="B21" s="8">
        <v>154729</v>
      </c>
      <c r="C21" s="8">
        <v>569757</v>
      </c>
      <c r="D21" s="8">
        <v>522257</v>
      </c>
      <c r="E21" s="8">
        <v>800872</v>
      </c>
      <c r="F21" s="8">
        <v>877749</v>
      </c>
      <c r="G21" s="3" t="s">
        <v>122</v>
      </c>
    </row>
    <row r="22" spans="1:7" ht="15" customHeight="1" x14ac:dyDescent="0.3">
      <c r="A22" s="9" t="s">
        <v>128</v>
      </c>
      <c r="B22" s="10">
        <v>8502</v>
      </c>
      <c r="C22" s="10">
        <v>-245875</v>
      </c>
      <c r="D22" s="10">
        <v>93095</v>
      </c>
      <c r="E22" s="10">
        <v>150949</v>
      </c>
      <c r="F22" s="10">
        <v>148136</v>
      </c>
      <c r="G22" s="3" t="s">
        <v>120</v>
      </c>
    </row>
    <row r="23" spans="1:7" ht="15" customHeight="1" x14ac:dyDescent="0.3">
      <c r="A23" s="13" t="s">
        <v>129</v>
      </c>
      <c r="B23" s="12">
        <f>B22/B21</f>
        <v>5.4947682722695811E-2</v>
      </c>
      <c r="C23" s="12">
        <f>C22/C21</f>
        <v>-0.43154362298313143</v>
      </c>
      <c r="D23" s="12">
        <f>D22/D21</f>
        <v>0.17825515024212218</v>
      </c>
      <c r="E23" s="12">
        <f>E22/E21</f>
        <v>0.18848080592154551</v>
      </c>
      <c r="F23" s="12">
        <f>F22/F21</f>
        <v>0.1687680646745254</v>
      </c>
      <c r="G23" s="3" t="s">
        <v>122</v>
      </c>
    </row>
    <row r="24" spans="1:7" ht="15" customHeight="1" x14ac:dyDescent="0.3">
      <c r="A24" s="7" t="s">
        <v>130</v>
      </c>
      <c r="B24" s="8">
        <v>146227</v>
      </c>
      <c r="C24" s="8">
        <v>815632</v>
      </c>
      <c r="D24" s="8">
        <v>429162</v>
      </c>
      <c r="E24" s="8">
        <v>649923</v>
      </c>
      <c r="F24" s="8">
        <v>729613</v>
      </c>
      <c r="G24" s="3" t="s">
        <v>122</v>
      </c>
    </row>
    <row r="25" spans="1:7" ht="15" customHeight="1" x14ac:dyDescent="0.3">
      <c r="A25" s="9" t="s">
        <v>131</v>
      </c>
      <c r="B25" s="10">
        <v>47663</v>
      </c>
      <c r="C25" s="10">
        <v>74129</v>
      </c>
      <c r="D25" s="10">
        <v>56134</v>
      </c>
      <c r="E25" s="10">
        <v>104124</v>
      </c>
      <c r="F25" s="10">
        <v>90142</v>
      </c>
      <c r="G25" s="3" t="s">
        <v>120</v>
      </c>
    </row>
    <row r="26" spans="1:7" ht="15" customHeight="1" x14ac:dyDescent="0.3">
      <c r="A26" s="7" t="s">
        <v>132</v>
      </c>
      <c r="B26" s="8">
        <v>98564</v>
      </c>
      <c r="C26" s="8">
        <v>741503</v>
      </c>
      <c r="D26" s="8">
        <v>373028</v>
      </c>
      <c r="E26" s="8">
        <v>545799</v>
      </c>
      <c r="F26" s="8">
        <v>639471</v>
      </c>
      <c r="G26" s="3" t="s">
        <v>120</v>
      </c>
    </row>
    <row r="27" spans="1:7" ht="15" customHeight="1" x14ac:dyDescent="0.3">
      <c r="A27" s="13" t="s">
        <v>133</v>
      </c>
      <c r="B27" s="12">
        <f>B26/B8</f>
        <v>2.1364576602532909E-2</v>
      </c>
      <c r="C27" s="12">
        <f>C26/C8</f>
        <v>0.11750886027484443</v>
      </c>
      <c r="D27" s="12">
        <f>D26/D8</f>
        <v>5.0107528326090896E-2</v>
      </c>
      <c r="E27" s="12">
        <f>E26/E8</f>
        <v>6.8221958511273648E-2</v>
      </c>
      <c r="F27" s="12">
        <f>F26/F8</f>
        <v>7.1295124920409514E-2</v>
      </c>
      <c r="G27" s="3" t="s">
        <v>122</v>
      </c>
    </row>
    <row r="29" spans="1:7" ht="15" customHeight="1" x14ac:dyDescent="0.3">
      <c r="A29" s="9" t="s">
        <v>12</v>
      </c>
      <c r="B29" s="14">
        <v>0.64</v>
      </c>
      <c r="C29" s="14">
        <v>4.7300000000000004</v>
      </c>
      <c r="D29" s="14">
        <v>2.38</v>
      </c>
      <c r="E29" s="14">
        <v>3.49</v>
      </c>
      <c r="F29" s="14">
        <v>4.16</v>
      </c>
      <c r="G29" s="3" t="s">
        <v>120</v>
      </c>
    </row>
    <row r="30" spans="1:7" ht="15" customHeight="1" x14ac:dyDescent="0.3">
      <c r="A30" s="9" t="s">
        <v>134</v>
      </c>
      <c r="B30" s="15">
        <v>154.9</v>
      </c>
      <c r="C30" s="15">
        <v>156.80000000000001</v>
      </c>
      <c r="D30" s="15">
        <v>156.6</v>
      </c>
      <c r="E30" s="15">
        <v>156.30000000000001</v>
      </c>
      <c r="F30" s="15">
        <v>153.80000000000001</v>
      </c>
      <c r="G30" s="3" t="s">
        <v>120</v>
      </c>
    </row>
    <row r="32" spans="1:7" ht="15" customHeight="1" x14ac:dyDescent="0.3">
      <c r="A32" s="13" t="s">
        <v>135</v>
      </c>
      <c r="B32" s="12">
        <f>B13/B8</f>
        <v>7.6184297543411827E-2</v>
      </c>
      <c r="C32" s="12">
        <f>C13/C8</f>
        <v>7.9162776132818857E-2</v>
      </c>
      <c r="D32" s="12">
        <f>D13/D8</f>
        <v>7.8396410797160337E-2</v>
      </c>
      <c r="E32" s="12">
        <f>E13/E8</f>
        <v>8.4607633023688233E-2</v>
      </c>
      <c r="F32" s="12">
        <f>F13/F8</f>
        <v>8.926331459210371E-2</v>
      </c>
      <c r="G32" s="3" t="s">
        <v>122</v>
      </c>
    </row>
    <row r="33" spans="1:7" ht="15" customHeight="1" x14ac:dyDescent="0.3">
      <c r="A33" s="13" t="s">
        <v>136</v>
      </c>
      <c r="B33" s="12">
        <f>B14/B8</f>
        <v>0.37296385271612387</v>
      </c>
      <c r="C33" s="12">
        <f>C14/C8</f>
        <v>0.32117141359338264</v>
      </c>
      <c r="D33" s="12">
        <f>D14/D8</f>
        <v>0.32037678570229228</v>
      </c>
      <c r="E33" s="12">
        <f>E14/E8</f>
        <v>0.33632662203690794</v>
      </c>
      <c r="F33" s="12">
        <f>F14/F8</f>
        <v>0.34144588610703269</v>
      </c>
      <c r="G33" s="3" t="s">
        <v>122</v>
      </c>
    </row>
    <row r="34" spans="1:7" ht="15" customHeight="1" x14ac:dyDescent="0.3">
      <c r="A34" s="13" t="s">
        <v>137</v>
      </c>
      <c r="B34" s="16" t="s">
        <v>138</v>
      </c>
      <c r="C34" s="12">
        <f>(C8-B8)/B8</f>
        <v>0.36778636117024399</v>
      </c>
      <c r="D34" s="12">
        <f>(D8-C8)/C8</f>
        <v>0.17976675179883705</v>
      </c>
      <c r="E34" s="12">
        <f>(E8-D8)/D8</f>
        <v>7.4657568288210838E-2</v>
      </c>
      <c r="F34" s="12">
        <f>(F8-E8)/E8</f>
        <v>0.12112094707951235</v>
      </c>
      <c r="G34" s="3" t="s">
        <v>122</v>
      </c>
    </row>
    <row r="36" spans="1:7" ht="15" customHeight="1" x14ac:dyDescent="0.3">
      <c r="A36" s="5" t="s">
        <v>139</v>
      </c>
      <c r="B36" s="6"/>
      <c r="C36" s="6"/>
      <c r="D36" s="6"/>
      <c r="E36" s="6"/>
      <c r="F36" s="6"/>
      <c r="G36" s="6"/>
    </row>
    <row r="37" spans="1:7" ht="15" customHeight="1" x14ac:dyDescent="0.3">
      <c r="A37" s="7" t="s">
        <v>140</v>
      </c>
      <c r="B37" s="8">
        <v>2835000</v>
      </c>
      <c r="C37" s="8">
        <v>3758600</v>
      </c>
      <c r="D37" s="8">
        <v>4632400</v>
      </c>
      <c r="E37" s="8">
        <v>4504800</v>
      </c>
      <c r="F37" s="8">
        <v>5100500</v>
      </c>
      <c r="G37" s="3" t="s">
        <v>120</v>
      </c>
    </row>
    <row r="38" spans="1:7" ht="15" customHeight="1" x14ac:dyDescent="0.3">
      <c r="A38" s="13" t="s">
        <v>141</v>
      </c>
      <c r="B38" s="16" t="s">
        <v>138</v>
      </c>
      <c r="C38" s="12">
        <f>(C37-B37)/B37</f>
        <v>0.32578483245149914</v>
      </c>
      <c r="D38" s="12">
        <f>(D37-C37)/C37</f>
        <v>0.23248017878997498</v>
      </c>
      <c r="E38" s="12">
        <f>(E37-D37)/D37</f>
        <v>-2.7545117001986013E-2</v>
      </c>
      <c r="F38" s="12">
        <f>(F37-E37)/E37</f>
        <v>0.13223672527082223</v>
      </c>
      <c r="G38" s="3" t="s">
        <v>122</v>
      </c>
    </row>
    <row r="39" spans="1:7" ht="15" customHeight="1" x14ac:dyDescent="0.3">
      <c r="A39" s="9" t="s">
        <v>142</v>
      </c>
      <c r="B39" s="12">
        <v>0.39200000000000002</v>
      </c>
      <c r="C39" s="12">
        <v>0.38200000000000001</v>
      </c>
      <c r="D39" s="12">
        <v>0.36</v>
      </c>
      <c r="E39" s="12">
        <v>0.41</v>
      </c>
      <c r="F39" s="12">
        <v>0.433</v>
      </c>
      <c r="G39" s="3" t="s">
        <v>120</v>
      </c>
    </row>
    <row r="41" spans="1:7" ht="15" customHeight="1" x14ac:dyDescent="0.3">
      <c r="A41" s="7" t="s">
        <v>143</v>
      </c>
      <c r="B41" s="8">
        <v>1778400</v>
      </c>
      <c r="C41" s="8">
        <v>2551500</v>
      </c>
      <c r="D41" s="8">
        <v>2812100</v>
      </c>
      <c r="E41" s="8">
        <v>3495500</v>
      </c>
      <c r="F41" s="8">
        <v>3868900</v>
      </c>
      <c r="G41" s="3" t="s">
        <v>120</v>
      </c>
    </row>
    <row r="42" spans="1:7" ht="15" customHeight="1" x14ac:dyDescent="0.3">
      <c r="A42" s="13" t="s">
        <v>144</v>
      </c>
      <c r="B42" s="16" t="s">
        <v>138</v>
      </c>
      <c r="C42" s="12">
        <f>(C41-B41)/B41</f>
        <v>0.43471659919028338</v>
      </c>
      <c r="D42" s="12">
        <f>(D41-C41)/C41</f>
        <v>0.10213599843229473</v>
      </c>
      <c r="E42" s="12">
        <f>(E41-D41)/D41</f>
        <v>0.24302122968599979</v>
      </c>
      <c r="F42" s="12">
        <f>(F41-E41)/E41</f>
        <v>0.10682305821770849</v>
      </c>
      <c r="G42" s="3" t="s">
        <v>122</v>
      </c>
    </row>
    <row r="43" spans="1:7" ht="15" customHeight="1" x14ac:dyDescent="0.3">
      <c r="A43" s="9" t="s">
        <v>145</v>
      </c>
      <c r="B43" s="12">
        <v>0.61499999999999999</v>
      </c>
      <c r="C43" s="12">
        <v>0.66100000000000003</v>
      </c>
      <c r="D43" s="12">
        <v>0.65600000000000003</v>
      </c>
      <c r="E43" s="12">
        <v>0.66</v>
      </c>
      <c r="F43" s="12">
        <v>0.66200000000000003</v>
      </c>
      <c r="G43" s="3" t="s">
        <v>120</v>
      </c>
    </row>
    <row r="45" spans="1:7" ht="15" customHeight="1" x14ac:dyDescent="0.3">
      <c r="A45" s="17" t="s">
        <v>146</v>
      </c>
      <c r="B45" s="18">
        <f>B41/B8</f>
        <v>0.38548316860054915</v>
      </c>
      <c r="C45" s="18">
        <f>C41/C8</f>
        <v>0.40434611456901126</v>
      </c>
      <c r="D45" s="18">
        <f>D41/D8</f>
        <v>0.3777394201126999</v>
      </c>
      <c r="E45" s="18">
        <f>E41/E8</f>
        <v>0.43691882172037144</v>
      </c>
      <c r="F45" s="18">
        <f>F41/F8</f>
        <v>0.43134670501801076</v>
      </c>
      <c r="G45" s="3" t="s">
        <v>122</v>
      </c>
    </row>
    <row r="47" spans="1:7" ht="15" customHeight="1" x14ac:dyDescent="0.3">
      <c r="A47" s="5" t="s">
        <v>147</v>
      </c>
      <c r="B47" s="6"/>
      <c r="C47" s="6"/>
      <c r="D47" s="6"/>
      <c r="E47" s="6"/>
      <c r="F47" s="6"/>
      <c r="G47" s="6"/>
    </row>
    <row r="48" spans="1:7" ht="15" customHeight="1" x14ac:dyDescent="0.3">
      <c r="A48" s="9" t="s">
        <v>148</v>
      </c>
      <c r="B48" s="10">
        <v>1370826</v>
      </c>
      <c r="C48" s="10">
        <v>796283</v>
      </c>
      <c r="D48" s="10">
        <v>615733</v>
      </c>
      <c r="E48" s="10">
        <v>1189910</v>
      </c>
      <c r="F48" s="10">
        <v>1116516</v>
      </c>
      <c r="G48" s="3" t="s">
        <v>120</v>
      </c>
    </row>
    <row r="49" spans="1:7" ht="15" customHeight="1" x14ac:dyDescent="0.3">
      <c r="A49" s="9" t="s">
        <v>149</v>
      </c>
      <c r="B49" s="10">
        <v>100767</v>
      </c>
      <c r="C49" s="10">
        <v>98580</v>
      </c>
      <c r="D49" s="10">
        <v>102166</v>
      </c>
      <c r="E49" s="10">
        <v>72595</v>
      </c>
      <c r="F49" s="10">
        <v>118470</v>
      </c>
      <c r="G49" s="3" t="s">
        <v>120</v>
      </c>
    </row>
    <row r="50" spans="1:7" ht="15" customHeight="1" x14ac:dyDescent="0.3">
      <c r="A50" s="9" t="s">
        <v>150</v>
      </c>
      <c r="B50" s="10">
        <v>619800</v>
      </c>
      <c r="C50" s="10">
        <v>732793</v>
      </c>
      <c r="D50" s="10">
        <v>848287</v>
      </c>
      <c r="E50" s="10">
        <v>860300</v>
      </c>
      <c r="F50" s="10">
        <v>990558</v>
      </c>
      <c r="G50" s="3" t="s">
        <v>120</v>
      </c>
    </row>
    <row r="51" spans="1:7" ht="15" customHeight="1" x14ac:dyDescent="0.3">
      <c r="A51" s="9" t="s">
        <v>151</v>
      </c>
      <c r="B51" s="10">
        <v>1016774</v>
      </c>
      <c r="C51" s="10">
        <v>1470994</v>
      </c>
      <c r="D51" s="10">
        <v>1818016</v>
      </c>
      <c r="E51" s="10">
        <v>1525409</v>
      </c>
      <c r="F51" s="10">
        <v>1919386</v>
      </c>
      <c r="G51" s="3" t="s">
        <v>120</v>
      </c>
    </row>
    <row r="52" spans="1:7" ht="15" customHeight="1" x14ac:dyDescent="0.3">
      <c r="A52" s="9" t="s">
        <v>152</v>
      </c>
      <c r="B52" s="10">
        <v>236184</v>
      </c>
      <c r="C52" s="10">
        <v>273590</v>
      </c>
      <c r="D52" s="10">
        <v>262071</v>
      </c>
      <c r="E52" s="10">
        <v>304390</v>
      </c>
      <c r="F52" s="10">
        <v>304493</v>
      </c>
      <c r="G52" s="3" t="s">
        <v>120</v>
      </c>
    </row>
    <row r="53" spans="1:7" ht="15" customHeight="1" x14ac:dyDescent="0.3">
      <c r="A53" s="7" t="s">
        <v>153</v>
      </c>
      <c r="B53" s="8">
        <v>3344351</v>
      </c>
      <c r="C53" s="8">
        <v>3372240</v>
      </c>
      <c r="D53" s="8">
        <v>3646273</v>
      </c>
      <c r="E53" s="8">
        <v>3952604</v>
      </c>
      <c r="F53" s="8">
        <v>4449423</v>
      </c>
      <c r="G53" s="3" t="s">
        <v>122</v>
      </c>
    </row>
    <row r="55" spans="1:7" ht="15" customHeight="1" x14ac:dyDescent="0.3">
      <c r="A55" s="9" t="s">
        <v>154</v>
      </c>
      <c r="B55" s="10">
        <v>935441</v>
      </c>
      <c r="C55" s="10">
        <v>1128909</v>
      </c>
      <c r="D55" s="10">
        <v>1345370</v>
      </c>
      <c r="E55" s="10">
        <v>1506690</v>
      </c>
      <c r="F55" s="10">
        <v>1834930</v>
      </c>
      <c r="G55" s="3" t="s">
        <v>120</v>
      </c>
    </row>
    <row r="56" spans="1:7" ht="15" customHeight="1" x14ac:dyDescent="0.3">
      <c r="A56" s="9" t="s">
        <v>155</v>
      </c>
      <c r="B56" s="10">
        <v>1171521</v>
      </c>
      <c r="C56" s="10">
        <v>1224580</v>
      </c>
      <c r="D56" s="10">
        <v>1200565</v>
      </c>
      <c r="E56" s="10">
        <v>1276171</v>
      </c>
      <c r="F56" s="10">
        <v>1363596</v>
      </c>
      <c r="G56" s="3" t="s">
        <v>120</v>
      </c>
    </row>
    <row r="57" spans="1:7" ht="15" customHeight="1" x14ac:dyDescent="0.3">
      <c r="A57" s="9" t="s">
        <v>156</v>
      </c>
      <c r="B57" s="10">
        <v>361056</v>
      </c>
      <c r="C57" s="10">
        <v>765551</v>
      </c>
      <c r="D57" s="10">
        <v>701279</v>
      </c>
      <c r="E57" s="10">
        <v>811886</v>
      </c>
      <c r="F57" s="10">
        <v>807809</v>
      </c>
      <c r="G57" s="3" t="s">
        <v>120</v>
      </c>
    </row>
    <row r="58" spans="1:7" ht="15" customHeight="1" x14ac:dyDescent="0.3">
      <c r="A58" s="7" t="s">
        <v>157</v>
      </c>
      <c r="B58" s="8">
        <v>5812369</v>
      </c>
      <c r="C58" s="8">
        <v>6491280</v>
      </c>
      <c r="D58" s="8">
        <v>6893487</v>
      </c>
      <c r="E58" s="8">
        <v>7547351</v>
      </c>
      <c r="F58" s="8">
        <v>8455758</v>
      </c>
      <c r="G58" s="3" t="s">
        <v>122</v>
      </c>
    </row>
    <row r="60" spans="1:7" ht="15" customHeight="1" x14ac:dyDescent="0.3">
      <c r="A60" s="9" t="s">
        <v>158</v>
      </c>
      <c r="B60" s="10">
        <v>744077</v>
      </c>
      <c r="C60" s="10">
        <v>876342</v>
      </c>
      <c r="D60" s="10">
        <v>957384</v>
      </c>
      <c r="E60" s="10">
        <v>1008001</v>
      </c>
      <c r="F60" s="10">
        <v>1241838</v>
      </c>
      <c r="G60" s="3" t="s">
        <v>120</v>
      </c>
    </row>
    <row r="61" spans="1:7" ht="15" customHeight="1" x14ac:dyDescent="0.3">
      <c r="A61" s="9" t="s">
        <v>159</v>
      </c>
      <c r="B61" s="10">
        <v>208712</v>
      </c>
      <c r="C61" s="10">
        <v>265420</v>
      </c>
      <c r="D61" s="10">
        <v>294143</v>
      </c>
      <c r="E61" s="10">
        <v>320105</v>
      </c>
      <c r="F61" s="10">
        <v>330251</v>
      </c>
      <c r="G61" s="3" t="s">
        <v>120</v>
      </c>
    </row>
    <row r="62" spans="1:7" ht="15" customHeight="1" x14ac:dyDescent="0.3">
      <c r="A62" s="9" t="s">
        <v>160</v>
      </c>
      <c r="B62" s="10">
        <v>204370</v>
      </c>
      <c r="C62" s="10">
        <v>225658</v>
      </c>
      <c r="D62" s="10">
        <v>238694</v>
      </c>
      <c r="E62" s="10">
        <v>274296</v>
      </c>
      <c r="F62" s="10">
        <v>297926</v>
      </c>
      <c r="G62" s="3" t="s">
        <v>120</v>
      </c>
    </row>
    <row r="63" spans="1:7" ht="15" customHeight="1" x14ac:dyDescent="0.3">
      <c r="A63" s="9" t="s">
        <v>161</v>
      </c>
      <c r="B63" s="10">
        <v>55547</v>
      </c>
      <c r="C63" s="10">
        <v>78162</v>
      </c>
      <c r="D63" s="10">
        <v>122819</v>
      </c>
      <c r="E63" s="10">
        <v>58465</v>
      </c>
      <c r="F63" s="10">
        <v>386469</v>
      </c>
      <c r="G63" s="3" t="s">
        <v>120</v>
      </c>
    </row>
    <row r="64" spans="1:7" ht="15" customHeight="1" x14ac:dyDescent="0.3">
      <c r="A64" s="7" t="s">
        <v>162</v>
      </c>
      <c r="B64" s="8">
        <v>1212706</v>
      </c>
      <c r="C64" s="8">
        <v>1445582</v>
      </c>
      <c r="D64" s="8">
        <v>1613040</v>
      </c>
      <c r="E64" s="8">
        <v>1660867</v>
      </c>
      <c r="F64" s="8">
        <v>2256484</v>
      </c>
      <c r="G64" s="3" t="s">
        <v>122</v>
      </c>
    </row>
    <row r="66" spans="1:7" ht="15" customHeight="1" x14ac:dyDescent="0.3">
      <c r="A66" s="9" t="s">
        <v>163</v>
      </c>
      <c r="B66" s="10">
        <v>679415</v>
      </c>
      <c r="C66" s="10">
        <v>263445</v>
      </c>
      <c r="D66" s="10">
        <v>216488</v>
      </c>
      <c r="E66" s="10">
        <v>242944</v>
      </c>
      <c r="F66" s="10">
        <v>68450</v>
      </c>
      <c r="G66" s="3" t="s">
        <v>120</v>
      </c>
    </row>
    <row r="67" spans="1:7" ht="15" customHeight="1" x14ac:dyDescent="0.3">
      <c r="A67" s="9" t="s">
        <v>164</v>
      </c>
      <c r="B67" s="10">
        <v>1065069</v>
      </c>
      <c r="C67" s="10">
        <v>1094748</v>
      </c>
      <c r="D67" s="10">
        <v>1063672</v>
      </c>
      <c r="E67" s="10">
        <v>1108110</v>
      </c>
      <c r="F67" s="10">
        <v>1176290</v>
      </c>
      <c r="G67" s="3" t="s">
        <v>120</v>
      </c>
    </row>
    <row r="68" spans="1:7" ht="15" customHeight="1" x14ac:dyDescent="0.3">
      <c r="A68" s="9" t="s">
        <v>165</v>
      </c>
      <c r="B68" s="10">
        <v>129516</v>
      </c>
      <c r="C68" s="10">
        <v>145433</v>
      </c>
      <c r="D68" s="10">
        <v>128701</v>
      </c>
      <c r="E68" s="10">
        <v>135388</v>
      </c>
      <c r="F68" s="10">
        <v>134270</v>
      </c>
      <c r="G68" s="3" t="s">
        <v>120</v>
      </c>
    </row>
    <row r="69" spans="1:7" ht="15" customHeight="1" x14ac:dyDescent="0.3">
      <c r="A69" s="7" t="s">
        <v>166</v>
      </c>
      <c r="B69" s="8">
        <v>3086706</v>
      </c>
      <c r="C69" s="8">
        <v>2949208</v>
      </c>
      <c r="D69" s="8">
        <v>3021901</v>
      </c>
      <c r="E69" s="8">
        <v>3147309</v>
      </c>
      <c r="F69" s="8">
        <v>3635494</v>
      </c>
      <c r="G69" s="3" t="s">
        <v>122</v>
      </c>
    </row>
    <row r="71" spans="1:7" ht="15" customHeight="1" x14ac:dyDescent="0.3">
      <c r="A71" s="9" t="s">
        <v>167</v>
      </c>
      <c r="B71" s="10">
        <v>2136400</v>
      </c>
      <c r="C71" s="10">
        <v>2877903</v>
      </c>
      <c r="D71" s="10">
        <v>3250931</v>
      </c>
      <c r="E71" s="10">
        <v>3796730</v>
      </c>
      <c r="F71" s="10">
        <v>4436201</v>
      </c>
      <c r="G71" s="3" t="s">
        <v>120</v>
      </c>
    </row>
    <row r="72" spans="1:7" ht="15" customHeight="1" x14ac:dyDescent="0.3">
      <c r="A72" s="7" t="s">
        <v>168</v>
      </c>
      <c r="B72" s="8">
        <v>2725663</v>
      </c>
      <c r="C72" s="8">
        <v>3542072</v>
      </c>
      <c r="D72" s="8">
        <v>3871586</v>
      </c>
      <c r="E72" s="8">
        <v>4400042</v>
      </c>
      <c r="F72" s="8">
        <v>4820264</v>
      </c>
      <c r="G72" s="3" t="s">
        <v>120</v>
      </c>
    </row>
    <row r="74" spans="1:7" ht="15" customHeight="1" x14ac:dyDescent="0.3">
      <c r="A74" s="7" t="s">
        <v>169</v>
      </c>
      <c r="B74" s="8">
        <v>5812369</v>
      </c>
      <c r="C74" s="8">
        <v>6491280</v>
      </c>
      <c r="D74" s="8">
        <v>6893487</v>
      </c>
      <c r="E74" s="8">
        <v>7547351</v>
      </c>
      <c r="F74" s="8">
        <v>8455758</v>
      </c>
      <c r="G74" s="3" t="s">
        <v>122</v>
      </c>
    </row>
    <row r="75" spans="1:7" ht="15" customHeight="1" x14ac:dyDescent="0.3">
      <c r="A75" s="19" t="s">
        <v>170</v>
      </c>
      <c r="B75" s="8">
        <f>B58-B74</f>
        <v>0</v>
      </c>
      <c r="C75" s="8">
        <f>C58-C74</f>
        <v>0</v>
      </c>
      <c r="D75" s="8">
        <f>D58-D74</f>
        <v>0</v>
      </c>
      <c r="E75" s="8">
        <f>E58-E74</f>
        <v>0</v>
      </c>
      <c r="F75" s="8">
        <f>F58-F74</f>
        <v>0</v>
      </c>
    </row>
    <row r="77" spans="1:7" ht="15" customHeight="1" x14ac:dyDescent="0.3">
      <c r="A77" s="5" t="s">
        <v>171</v>
      </c>
      <c r="B77" s="6"/>
      <c r="C77" s="6"/>
      <c r="D77" s="6"/>
      <c r="E77" s="6"/>
      <c r="F77" s="6"/>
      <c r="G77" s="6"/>
    </row>
    <row r="78" spans="1:7" ht="15" customHeight="1" x14ac:dyDescent="0.3">
      <c r="A78" s="9" t="s">
        <v>172</v>
      </c>
      <c r="B78" s="20">
        <v>98.6</v>
      </c>
      <c r="C78" s="20">
        <v>741.5</v>
      </c>
      <c r="D78" s="20">
        <v>373</v>
      </c>
      <c r="E78" s="20">
        <v>545.79999999999995</v>
      </c>
      <c r="F78" s="20">
        <v>639.5</v>
      </c>
      <c r="G78" s="3" t="s">
        <v>120</v>
      </c>
    </row>
    <row r="79" spans="1:7" ht="15" customHeight="1" x14ac:dyDescent="0.3">
      <c r="A79" s="9" t="s">
        <v>173</v>
      </c>
      <c r="B79" s="20">
        <v>142.80000000000001</v>
      </c>
      <c r="C79" s="20">
        <v>139.6</v>
      </c>
      <c r="D79" s="20">
        <v>153.69999999999999</v>
      </c>
      <c r="E79" s="20">
        <v>181.9</v>
      </c>
      <c r="F79" s="20">
        <v>211.5</v>
      </c>
      <c r="G79" s="3" t="s">
        <v>120</v>
      </c>
    </row>
    <row r="80" spans="1:7" ht="15" customHeight="1" x14ac:dyDescent="0.3">
      <c r="A80" s="9" t="s">
        <v>174</v>
      </c>
      <c r="B80" s="20">
        <v>65.2</v>
      </c>
      <c r="C80" s="20">
        <v>60.1</v>
      </c>
      <c r="D80" s="20">
        <v>59.9</v>
      </c>
      <c r="E80" s="20">
        <v>68</v>
      </c>
      <c r="F80" s="20">
        <v>86.7</v>
      </c>
      <c r="G80" s="3" t="s">
        <v>120</v>
      </c>
    </row>
    <row r="81" spans="1:7" ht="15" customHeight="1" x14ac:dyDescent="0.3">
      <c r="A81" s="9" t="s">
        <v>175</v>
      </c>
      <c r="B81" s="20">
        <v>51.1</v>
      </c>
      <c r="C81" s="20">
        <v>-248.2</v>
      </c>
      <c r="D81" s="20">
        <v>85.1</v>
      </c>
      <c r="E81" s="20">
        <v>131.80000000000001</v>
      </c>
      <c r="F81" s="20">
        <v>174.8</v>
      </c>
      <c r="G81" s="3" t="s">
        <v>120</v>
      </c>
    </row>
    <row r="82" spans="1:7" ht="15" customHeight="1" x14ac:dyDescent="0.3">
      <c r="A82" s="9" t="s">
        <v>176</v>
      </c>
      <c r="B82" s="20">
        <v>13.3</v>
      </c>
      <c r="C82" s="20">
        <v>-154.30000000000001</v>
      </c>
      <c r="D82" s="20">
        <v>-179.7</v>
      </c>
      <c r="E82" s="20">
        <v>-3.4</v>
      </c>
      <c r="F82" s="20">
        <v>-248.6</v>
      </c>
      <c r="G82" s="3" t="s">
        <v>120</v>
      </c>
    </row>
    <row r="83" spans="1:7" ht="15" customHeight="1" x14ac:dyDescent="0.3">
      <c r="A83" s="9" t="s">
        <v>177</v>
      </c>
      <c r="B83" s="20">
        <v>78.599999999999994</v>
      </c>
      <c r="C83" s="20">
        <v>-458</v>
      </c>
      <c r="D83" s="20">
        <v>-389</v>
      </c>
      <c r="E83" s="20">
        <v>324.2</v>
      </c>
      <c r="F83" s="20">
        <v>-441.7</v>
      </c>
      <c r="G83" s="3" t="s">
        <v>120</v>
      </c>
    </row>
    <row r="84" spans="1:7" ht="15" customHeight="1" x14ac:dyDescent="0.3">
      <c r="A84" s="9" t="s">
        <v>178</v>
      </c>
      <c r="B84" s="20">
        <v>-37.700000000000003</v>
      </c>
      <c r="C84" s="20">
        <v>135.1</v>
      </c>
      <c r="D84" s="20">
        <v>107.2</v>
      </c>
      <c r="E84" s="20">
        <v>41.6</v>
      </c>
      <c r="F84" s="20">
        <v>260.5</v>
      </c>
      <c r="G84" s="3" t="s">
        <v>120</v>
      </c>
    </row>
    <row r="85" spans="1:7" ht="15" customHeight="1" x14ac:dyDescent="0.3">
      <c r="A85" s="9" t="s">
        <v>179</v>
      </c>
      <c r="B85" s="20">
        <v>-80.400000000000006</v>
      </c>
      <c r="C85" s="20">
        <v>-3.7</v>
      </c>
      <c r="D85" s="20">
        <v>28.2</v>
      </c>
      <c r="E85" s="20">
        <v>-58.7</v>
      </c>
      <c r="F85" s="20">
        <v>4.7</v>
      </c>
      <c r="G85" s="3" t="s">
        <v>120</v>
      </c>
    </row>
    <row r="86" spans="1:7" ht="15" customHeight="1" x14ac:dyDescent="0.3">
      <c r="A86" s="7" t="s">
        <v>180</v>
      </c>
      <c r="B86" s="21">
        <v>331.5</v>
      </c>
      <c r="C86" s="21">
        <v>212.2</v>
      </c>
      <c r="D86" s="21">
        <v>238.3</v>
      </c>
      <c r="E86" s="21">
        <v>1231</v>
      </c>
      <c r="F86" s="21">
        <v>687.4</v>
      </c>
      <c r="G86" s="3" t="s">
        <v>122</v>
      </c>
    </row>
    <row r="88" spans="1:7" ht="15" customHeight="1" x14ac:dyDescent="0.3">
      <c r="A88" s="9" t="s">
        <v>181</v>
      </c>
      <c r="B88" s="20">
        <v>-309.89999999999998</v>
      </c>
      <c r="C88" s="20">
        <v>-309.7</v>
      </c>
      <c r="D88" s="20">
        <v>-359</v>
      </c>
      <c r="E88" s="20">
        <v>-323.7</v>
      </c>
      <c r="F88" s="20">
        <v>-416.8</v>
      </c>
      <c r="G88" s="3" t="s">
        <v>120</v>
      </c>
    </row>
    <row r="89" spans="1:7" ht="15" customHeight="1" x14ac:dyDescent="0.3">
      <c r="A89" s="9" t="s">
        <v>182</v>
      </c>
      <c r="B89" s="20">
        <v>-2.6</v>
      </c>
      <c r="C89" s="20">
        <v>-35</v>
      </c>
      <c r="D89" s="20">
        <v>71.5</v>
      </c>
      <c r="E89" s="20">
        <v>-94.3</v>
      </c>
      <c r="F89" s="20">
        <v>-68.599999999999994</v>
      </c>
      <c r="G89" s="3" t="s">
        <v>120</v>
      </c>
    </row>
    <row r="90" spans="1:7" ht="15" customHeight="1" x14ac:dyDescent="0.3">
      <c r="A90" s="7" t="s">
        <v>183</v>
      </c>
      <c r="B90" s="21">
        <v>-312.5</v>
      </c>
      <c r="C90" s="21">
        <v>-344.7</v>
      </c>
      <c r="D90" s="21">
        <v>-287.5</v>
      </c>
      <c r="E90" s="21">
        <v>-418</v>
      </c>
      <c r="F90" s="21">
        <v>-485.4</v>
      </c>
      <c r="G90" s="3" t="s">
        <v>122</v>
      </c>
    </row>
    <row r="92" spans="1:7" ht="15" customHeight="1" x14ac:dyDescent="0.3">
      <c r="A92" s="9" t="s">
        <v>184</v>
      </c>
      <c r="B92" s="20">
        <v>703</v>
      </c>
      <c r="C92" s="20">
        <v>96.2</v>
      </c>
      <c r="D92" s="20">
        <v>93.1</v>
      </c>
      <c r="E92" s="20">
        <v>48.1</v>
      </c>
      <c r="F92" s="20">
        <v>287.10000000000002</v>
      </c>
      <c r="G92" s="3" t="s">
        <v>120</v>
      </c>
    </row>
    <row r="93" spans="1:7" ht="15" customHeight="1" x14ac:dyDescent="0.3">
      <c r="A93" s="9" t="s">
        <v>185</v>
      </c>
      <c r="B93" s="20">
        <v>-88.9</v>
      </c>
      <c r="C93" s="20">
        <v>-489.5</v>
      </c>
      <c r="D93" s="20">
        <v>-95.4</v>
      </c>
      <c r="E93" s="20">
        <v>-86</v>
      </c>
      <c r="F93" s="20">
        <v>-130.30000000000001</v>
      </c>
      <c r="G93" s="3" t="s">
        <v>120</v>
      </c>
    </row>
    <row r="94" spans="1:7" ht="15" customHeight="1" x14ac:dyDescent="0.3">
      <c r="A94" s="9" t="s">
        <v>186</v>
      </c>
      <c r="B94" s="20">
        <v>-5.7</v>
      </c>
      <c r="C94" s="20">
        <v>-3.1</v>
      </c>
      <c r="D94" s="20">
        <v>-94.6</v>
      </c>
      <c r="E94" s="20">
        <v>-182.5</v>
      </c>
      <c r="F94" s="20">
        <v>-381.4</v>
      </c>
      <c r="G94" s="3" t="s">
        <v>120</v>
      </c>
    </row>
    <row r="95" spans="1:7" ht="15" customHeight="1" x14ac:dyDescent="0.3">
      <c r="A95" s="9" t="s">
        <v>187</v>
      </c>
      <c r="B95" s="20">
        <v>-75.2</v>
      </c>
      <c r="C95" s="20">
        <v>-37.5</v>
      </c>
      <c r="D95" s="20">
        <v>-21.2</v>
      </c>
      <c r="E95" s="20">
        <v>-14.3</v>
      </c>
      <c r="F95" s="20">
        <v>-28.9</v>
      </c>
      <c r="G95" s="3" t="s">
        <v>120</v>
      </c>
    </row>
    <row r="96" spans="1:7" ht="15" customHeight="1" x14ac:dyDescent="0.3">
      <c r="A96" s="7" t="s">
        <v>188</v>
      </c>
      <c r="B96" s="21">
        <v>533.29999999999995</v>
      </c>
      <c r="C96" s="21">
        <v>-433.9</v>
      </c>
      <c r="D96" s="21">
        <v>-118.1</v>
      </c>
      <c r="E96" s="21">
        <v>-234.7</v>
      </c>
      <c r="F96" s="21">
        <v>-253.5</v>
      </c>
      <c r="G96" s="3" t="s">
        <v>122</v>
      </c>
    </row>
    <row r="98" spans="1:7" ht="15" customHeight="1" x14ac:dyDescent="0.3">
      <c r="A98" s="9" t="s">
        <v>189</v>
      </c>
      <c r="B98" s="20">
        <v>-6.3</v>
      </c>
      <c r="C98" s="20">
        <v>-8.1</v>
      </c>
      <c r="D98" s="20">
        <v>-13.3</v>
      </c>
      <c r="E98" s="20">
        <v>-4.3</v>
      </c>
      <c r="F98" s="20">
        <v>-22</v>
      </c>
      <c r="G98" s="3" t="s">
        <v>120</v>
      </c>
    </row>
    <row r="99" spans="1:7" ht="15" customHeight="1" x14ac:dyDescent="0.3">
      <c r="A99" s="7" t="s">
        <v>190</v>
      </c>
      <c r="B99" s="21">
        <v>545.9</v>
      </c>
      <c r="C99" s="21">
        <v>-574.5</v>
      </c>
      <c r="D99" s="21">
        <v>-180.6</v>
      </c>
      <c r="E99" s="21">
        <v>574.20000000000005</v>
      </c>
      <c r="F99" s="21">
        <v>-73.400000000000006</v>
      </c>
      <c r="G99" s="3" t="s">
        <v>122</v>
      </c>
    </row>
    <row r="101" spans="1:7" ht="15" customHeight="1" x14ac:dyDescent="0.3">
      <c r="A101" s="22" t="s">
        <v>13</v>
      </c>
      <c r="B101" s="21">
        <f>B86+B88</f>
        <v>21.600000000000023</v>
      </c>
      <c r="C101" s="21">
        <f>C86+C88</f>
        <v>-97.5</v>
      </c>
      <c r="D101" s="21">
        <f>D86+D88</f>
        <v>-120.69999999999999</v>
      </c>
      <c r="E101" s="21">
        <f>E86+E88</f>
        <v>907.3</v>
      </c>
      <c r="F101" s="21">
        <f>F86+F88</f>
        <v>270.59999999999997</v>
      </c>
      <c r="G101" s="3" t="s">
        <v>122</v>
      </c>
    </row>
    <row r="103" spans="1:7" ht="15" customHeight="1" x14ac:dyDescent="0.3">
      <c r="A103" s="5" t="s">
        <v>191</v>
      </c>
      <c r="B103" s="6"/>
      <c r="C103" s="6"/>
      <c r="D103" s="6"/>
      <c r="E103" s="6"/>
      <c r="F103" s="6"/>
      <c r="G103" s="6"/>
    </row>
    <row r="104" spans="1:7" ht="15" customHeight="1" x14ac:dyDescent="0.3">
      <c r="A104" s="23" t="s">
        <v>192</v>
      </c>
      <c r="B104" s="24">
        <f t="shared" ref="B104:F105" si="0">(B50/B8)*365</f>
        <v>49.036606378203118</v>
      </c>
      <c r="C104" s="24">
        <f t="shared" si="0"/>
        <v>42.386921752569023</v>
      </c>
      <c r="D104" s="24">
        <f t="shared" si="0"/>
        <v>41.590795279768422</v>
      </c>
      <c r="E104" s="24">
        <f t="shared" si="0"/>
        <v>39.249509583465304</v>
      </c>
      <c r="F104" s="24">
        <f t="shared" si="0"/>
        <v>40.309903135689531</v>
      </c>
      <c r="G104" s="3" t="s">
        <v>122</v>
      </c>
    </row>
    <row r="105" spans="1:7" ht="15" customHeight="1" x14ac:dyDescent="0.3">
      <c r="A105" s="23" t="s">
        <v>193</v>
      </c>
      <c r="B105" s="24">
        <f t="shared" si="0"/>
        <v>154.14413658560088</v>
      </c>
      <c r="C105" s="24">
        <f t="shared" si="0"/>
        <v>168.5322195217114</v>
      </c>
      <c r="D105" s="24">
        <f t="shared" si="0"/>
        <v>168.88349337892029</v>
      </c>
      <c r="E105" s="24">
        <f t="shared" si="0"/>
        <v>144.69419335758531</v>
      </c>
      <c r="F105" s="24">
        <f t="shared" si="0"/>
        <v>166.72788244970386</v>
      </c>
      <c r="G105" s="3" t="s">
        <v>122</v>
      </c>
    </row>
    <row r="106" spans="1:7" ht="15" customHeight="1" x14ac:dyDescent="0.3">
      <c r="A106" s="23" t="s">
        <v>194</v>
      </c>
      <c r="B106" s="24">
        <f>(B60/B9)*365</f>
        <v>112.80295003432833</v>
      </c>
      <c r="C106" s="24">
        <f>(C60/C9)*365</f>
        <v>100.40276324722984</v>
      </c>
      <c r="D106" s="24">
        <f>(D60/D9)*365</f>
        <v>88.93560586105086</v>
      </c>
      <c r="E106" s="24">
        <f>(E60/E9)*365</f>
        <v>95.61494104114982</v>
      </c>
      <c r="F106" s="24">
        <f>(F60/F9)*365</f>
        <v>107.87252803009677</v>
      </c>
      <c r="G106" s="3" t="s">
        <v>122</v>
      </c>
    </row>
    <row r="107" spans="1:7" ht="15" customHeight="1" x14ac:dyDescent="0.3">
      <c r="A107" s="22" t="s">
        <v>195</v>
      </c>
      <c r="B107" s="25">
        <f>B104+B105-B106</f>
        <v>90.37779292947566</v>
      </c>
      <c r="C107" s="25">
        <f>C104+C105-C106</f>
        <v>110.51637802705059</v>
      </c>
      <c r="D107" s="25">
        <f>D104+D105-D106</f>
        <v>121.53868279763786</v>
      </c>
      <c r="E107" s="25">
        <f>E104+E105-E106</f>
        <v>88.328761899900798</v>
      </c>
      <c r="F107" s="25">
        <f>F104+F105-F106</f>
        <v>99.165257555296606</v>
      </c>
      <c r="G107" s="3" t="s">
        <v>122</v>
      </c>
    </row>
    <row r="109" spans="1:7" ht="15" customHeight="1" x14ac:dyDescent="0.3">
      <c r="A109" s="13" t="s">
        <v>196</v>
      </c>
      <c r="B109" s="12">
        <f>-B88*1000/B8</f>
        <v>6.7173433394798795E-2</v>
      </c>
      <c r="C109" s="12">
        <f>-C88*1000/C8</f>
        <v>4.9079361819330897E-2</v>
      </c>
      <c r="D109" s="12">
        <f>-D88*1000/D8</f>
        <v>4.8223196835268753E-2</v>
      </c>
      <c r="E109" s="12">
        <f>-E88*1000/E8</f>
        <v>4.0460770302069585E-2</v>
      </c>
      <c r="F109" s="12">
        <f>-F88*1000/F8</f>
        <v>4.6469359934737754E-2</v>
      </c>
      <c r="G109" s="3" t="s">
        <v>122</v>
      </c>
    </row>
    <row r="110" spans="1:7" ht="15" customHeight="1" x14ac:dyDescent="0.3">
      <c r="A110" s="13" t="s">
        <v>197</v>
      </c>
      <c r="B110" s="16" t="s">
        <v>138</v>
      </c>
      <c r="C110" s="12">
        <f>C79*1000/B55</f>
        <v>0.14923442526038522</v>
      </c>
      <c r="D110" s="12">
        <f>D79*1000/C55</f>
        <v>0.13614914931141484</v>
      </c>
      <c r="E110" s="12">
        <f>E79*1000/D55</f>
        <v>0.13520444190074107</v>
      </c>
      <c r="F110" s="12">
        <f>F79*1000/E55</f>
        <v>0.14037393226211098</v>
      </c>
      <c r="G110" s="3" t="s">
        <v>122</v>
      </c>
    </row>
    <row r="112" spans="1:7" ht="15" customHeight="1" x14ac:dyDescent="0.3">
      <c r="A112" s="22" t="s">
        <v>198</v>
      </c>
      <c r="B112" s="26">
        <v>734962</v>
      </c>
      <c r="C112" s="26">
        <v>341607</v>
      </c>
      <c r="D112" s="26">
        <v>339307</v>
      </c>
      <c r="E112" s="26">
        <v>301409</v>
      </c>
      <c r="F112" s="26">
        <v>454919</v>
      </c>
      <c r="G112" s="3" t="s">
        <v>122</v>
      </c>
    </row>
    <row r="113" spans="1:7" ht="15" customHeight="1" x14ac:dyDescent="0.3">
      <c r="A113" s="13" t="s">
        <v>199</v>
      </c>
      <c r="B113" s="12">
        <f>B25/B24</f>
        <v>0.32595211554637654</v>
      </c>
      <c r="C113" s="12">
        <f>C25/C24</f>
        <v>9.0885350255997796E-2</v>
      </c>
      <c r="D113" s="12">
        <f>D25/D24</f>
        <v>0.13079909218430336</v>
      </c>
      <c r="E113" s="12">
        <f>E25/E24</f>
        <v>0.16020974792398485</v>
      </c>
      <c r="F113" s="12">
        <f>F25/F24</f>
        <v>0.12354768898032245</v>
      </c>
      <c r="G113" s="3" t="s">
        <v>122</v>
      </c>
    </row>
    <row r="114" spans="1:7" ht="15" customHeight="1" x14ac:dyDescent="0.3">
      <c r="A114" s="13" t="s">
        <v>200</v>
      </c>
      <c r="B114" s="12">
        <f>B80*1000/B8</f>
        <v>1.4132648781351667E-2</v>
      </c>
      <c r="C114" s="12">
        <f>C80*1000/C8</f>
        <v>9.5242804176357346E-3</v>
      </c>
      <c r="D114" s="12">
        <f>D80*1000/D8</f>
        <v>8.0461545694501344E-3</v>
      </c>
      <c r="E114" s="12">
        <f>E80*1000/E8</f>
        <v>8.4996366405336171E-3</v>
      </c>
      <c r="F114" s="12">
        <f>F80*1000/F8</f>
        <v>9.6662512148314849E-3</v>
      </c>
      <c r="G114" s="3" t="s">
        <v>122</v>
      </c>
    </row>
    <row r="116" spans="1:7" ht="15" customHeight="1" x14ac:dyDescent="0.3">
      <c r="A116" s="27" t="s">
        <v>201</v>
      </c>
      <c r="B116" s="6"/>
      <c r="C116" s="6"/>
      <c r="D116" s="6"/>
      <c r="E116" s="6"/>
      <c r="F116" s="6"/>
      <c r="G116" s="6"/>
    </row>
    <row r="117" spans="1:7" ht="15" customHeight="1" x14ac:dyDescent="0.3">
      <c r="A117" s="3" t="s">
        <v>202</v>
      </c>
    </row>
    <row r="118" spans="1:7" ht="15" customHeight="1" x14ac:dyDescent="0.3">
      <c r="A118" s="3" t="s">
        <v>203</v>
      </c>
    </row>
    <row r="119" spans="1:7" ht="15" customHeight="1" x14ac:dyDescent="0.3">
      <c r="A119" s="3" t="s">
        <v>204</v>
      </c>
    </row>
    <row r="120" spans="1:7" ht="15" customHeight="1" x14ac:dyDescent="0.3">
      <c r="A120" s="3" t="s">
        <v>205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0" customWidth="1"/>
    <col min="2" max="10" width="11" customWidth="1"/>
    <col min="11" max="11" width="3" customWidth="1"/>
    <col min="12" max="14" width="12" customWidth="1"/>
  </cols>
  <sheetData>
    <row r="1" spans="1:14" ht="17.399999999999999" customHeight="1" x14ac:dyDescent="0.3">
      <c r="A1" s="28" t="s">
        <v>0</v>
      </c>
    </row>
    <row r="2" spans="1:14" ht="15.6" customHeight="1" x14ac:dyDescent="0.3">
      <c r="A2" s="29" t="s">
        <v>206</v>
      </c>
    </row>
    <row r="3" spans="1:14" x14ac:dyDescent="0.3">
      <c r="A3" s="30" t="s">
        <v>207</v>
      </c>
    </row>
    <row r="5" spans="1:14" x14ac:dyDescent="0.3">
      <c r="A5" s="31" t="s">
        <v>208</v>
      </c>
      <c r="B5" s="32" t="s">
        <v>6</v>
      </c>
      <c r="D5" s="31" t="s">
        <v>209</v>
      </c>
      <c r="E5" s="33">
        <f>MATCH(B5,{"Bear","Base","Bull"},0)</f>
        <v>2</v>
      </c>
    </row>
    <row r="7" spans="1:14" x14ac:dyDescent="0.3">
      <c r="A7" s="34" t="s">
        <v>210</v>
      </c>
      <c r="B7" s="35" t="s">
        <v>211</v>
      </c>
    </row>
    <row r="8" spans="1:14" x14ac:dyDescent="0.3">
      <c r="B8" s="36" t="s">
        <v>212</v>
      </c>
    </row>
    <row r="9" spans="1:14" x14ac:dyDescent="0.3">
      <c r="B9" s="37" t="s">
        <v>213</v>
      </c>
    </row>
    <row r="10" spans="1:14" x14ac:dyDescent="0.3">
      <c r="B10" s="180" t="s">
        <v>99</v>
      </c>
      <c r="C10" s="167"/>
      <c r="D10" s="167"/>
      <c r="E10" s="180" t="s">
        <v>100</v>
      </c>
      <c r="F10" s="167"/>
      <c r="G10" s="167"/>
      <c r="H10" s="180" t="s">
        <v>101</v>
      </c>
      <c r="I10" s="167"/>
      <c r="J10" s="167"/>
      <c r="L10" s="181" t="s">
        <v>214</v>
      </c>
      <c r="M10" s="167"/>
      <c r="N10" s="167"/>
    </row>
    <row r="11" spans="1:14" x14ac:dyDescent="0.3">
      <c r="A11" s="39" t="s">
        <v>215</v>
      </c>
      <c r="B11" s="40" t="s">
        <v>5</v>
      </c>
      <c r="C11" s="40" t="s">
        <v>6</v>
      </c>
      <c r="D11" s="40" t="s">
        <v>7</v>
      </c>
      <c r="E11" s="40" t="s">
        <v>5</v>
      </c>
      <c r="F11" s="40" t="s">
        <v>6</v>
      </c>
      <c r="G11" s="40" t="s">
        <v>7</v>
      </c>
      <c r="H11" s="40" t="s">
        <v>5</v>
      </c>
      <c r="I11" s="40" t="s">
        <v>6</v>
      </c>
      <c r="J11" s="40" t="s">
        <v>7</v>
      </c>
      <c r="K11" s="41"/>
      <c r="L11" s="56" t="s">
        <v>99</v>
      </c>
      <c r="M11" s="42" t="s">
        <v>100</v>
      </c>
      <c r="N11" s="42" t="s">
        <v>101</v>
      </c>
    </row>
    <row r="12" spans="1:14" x14ac:dyDescent="0.3">
      <c r="A12" s="43" t="s">
        <v>216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57"/>
      <c r="M12" s="44"/>
      <c r="N12" s="44"/>
    </row>
    <row r="13" spans="1:14" x14ac:dyDescent="0.3">
      <c r="A13" s="45" t="s">
        <v>217</v>
      </c>
      <c r="B13" s="46">
        <v>0.04</v>
      </c>
      <c r="C13" s="46">
        <v>0.08</v>
      </c>
      <c r="D13" s="46">
        <v>0.13</v>
      </c>
      <c r="E13" s="46">
        <v>0.04</v>
      </c>
      <c r="F13" s="46">
        <v>7.0000000000000007E-2</v>
      </c>
      <c r="G13" s="46">
        <v>0.12</v>
      </c>
      <c r="H13" s="46">
        <v>0.03</v>
      </c>
      <c r="I13" s="46">
        <v>0.06</v>
      </c>
      <c r="J13" s="46">
        <v>0.11</v>
      </c>
      <c r="L13" s="58">
        <f>CHOOSE($E$5,B13,C13,D13)</f>
        <v>0.08</v>
      </c>
      <c r="M13" s="47">
        <f>CHOOSE($E$5,E13,F13,G13)</f>
        <v>7.0000000000000007E-2</v>
      </c>
      <c r="N13" s="47">
        <f>CHOOSE($E$5,H13,I13,J13)</f>
        <v>0.06</v>
      </c>
    </row>
    <row r="14" spans="1:14" x14ac:dyDescent="0.3">
      <c r="A14" s="45" t="s">
        <v>218</v>
      </c>
      <c r="B14" s="46">
        <v>0.06</v>
      </c>
      <c r="C14" s="46">
        <v>0.1</v>
      </c>
      <c r="D14" s="46">
        <v>0.14000000000000001</v>
      </c>
      <c r="E14" s="46">
        <v>0.05</v>
      </c>
      <c r="F14" s="46">
        <v>0.09</v>
      </c>
      <c r="G14" s="46">
        <v>0.13</v>
      </c>
      <c r="H14" s="46">
        <v>0.04</v>
      </c>
      <c r="I14" s="46">
        <v>0.08</v>
      </c>
      <c r="J14" s="46">
        <v>0.12</v>
      </c>
      <c r="L14" s="58">
        <f>CHOOSE($E$5,B14,C14,D14)</f>
        <v>0.1</v>
      </c>
      <c r="M14" s="47">
        <f>CHOOSE($E$5,E14,F14,G14)</f>
        <v>0.09</v>
      </c>
      <c r="N14" s="47">
        <f>CHOOSE($E$5,H14,I14,J14)</f>
        <v>0.08</v>
      </c>
    </row>
    <row r="15" spans="1:14" x14ac:dyDescent="0.3">
      <c r="L15" s="59"/>
    </row>
    <row r="16" spans="1:14" x14ac:dyDescent="0.3">
      <c r="A16" s="43" t="s">
        <v>219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57"/>
      <c r="M16" s="44"/>
      <c r="N16" s="44"/>
    </row>
    <row r="17" spans="1:14" x14ac:dyDescent="0.3">
      <c r="A17" s="45" t="s">
        <v>142</v>
      </c>
      <c r="B17" s="46">
        <v>0.41</v>
      </c>
      <c r="C17" s="46">
        <v>0.435</v>
      </c>
      <c r="D17" s="46">
        <v>0.45</v>
      </c>
      <c r="E17" s="46">
        <v>0.41</v>
      </c>
      <c r="F17" s="46">
        <v>0.435</v>
      </c>
      <c r="G17" s="46">
        <v>0.45</v>
      </c>
      <c r="H17" s="46">
        <v>0.41</v>
      </c>
      <c r="I17" s="46">
        <v>0.435</v>
      </c>
      <c r="J17" s="46">
        <v>0.45</v>
      </c>
      <c r="L17" s="58">
        <f>CHOOSE($E$5,B17,C17,D17)</f>
        <v>0.435</v>
      </c>
      <c r="M17" s="47">
        <f>CHOOSE($E$5,E17,F17,G17)</f>
        <v>0.435</v>
      </c>
      <c r="N17" s="47">
        <f>CHOOSE($E$5,H17,I17,J17)</f>
        <v>0.435</v>
      </c>
    </row>
    <row r="18" spans="1:14" x14ac:dyDescent="0.3">
      <c r="A18" s="45" t="s">
        <v>145</v>
      </c>
      <c r="B18" s="46">
        <v>0.65</v>
      </c>
      <c r="C18" s="46">
        <v>0.66</v>
      </c>
      <c r="D18" s="46">
        <v>0.67</v>
      </c>
      <c r="E18" s="46">
        <v>0.65</v>
      </c>
      <c r="F18" s="46">
        <v>0.66</v>
      </c>
      <c r="G18" s="46">
        <v>0.67</v>
      </c>
      <c r="H18" s="46">
        <v>0.65</v>
      </c>
      <c r="I18" s="46">
        <v>0.66</v>
      </c>
      <c r="J18" s="46">
        <v>0.67</v>
      </c>
      <c r="L18" s="58">
        <f>CHOOSE($E$5,B18,C18,D18)</f>
        <v>0.66</v>
      </c>
      <c r="M18" s="47">
        <f>CHOOSE($E$5,E18,F18,G18)</f>
        <v>0.66</v>
      </c>
      <c r="N18" s="47">
        <f>CHOOSE($E$5,H18,I18,J18)</f>
        <v>0.66</v>
      </c>
    </row>
    <row r="19" spans="1:14" x14ac:dyDescent="0.3">
      <c r="L19" s="59"/>
    </row>
    <row r="20" spans="1:14" x14ac:dyDescent="0.3">
      <c r="A20" s="43" t="s">
        <v>220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57"/>
      <c r="M20" s="44"/>
      <c r="N20" s="44"/>
    </row>
    <row r="21" spans="1:14" x14ac:dyDescent="0.3">
      <c r="A21" s="45" t="s">
        <v>221</v>
      </c>
      <c r="B21" s="46">
        <v>9.5000000000000001E-2</v>
      </c>
      <c r="C21" s="46">
        <v>8.8999999999999996E-2</v>
      </c>
      <c r="D21" s="46">
        <v>8.5000000000000006E-2</v>
      </c>
      <c r="E21" s="46">
        <v>9.5000000000000001E-2</v>
      </c>
      <c r="F21" s="46">
        <v>8.8999999999999996E-2</v>
      </c>
      <c r="G21" s="46">
        <v>8.5000000000000006E-2</v>
      </c>
      <c r="H21" s="46">
        <v>9.5000000000000001E-2</v>
      </c>
      <c r="I21" s="46">
        <v>8.8999999999999996E-2</v>
      </c>
      <c r="J21" s="46">
        <v>8.5000000000000006E-2</v>
      </c>
      <c r="L21" s="58">
        <f>CHOOSE($E$5,B21,C21,D21)</f>
        <v>8.8999999999999996E-2</v>
      </c>
      <c r="M21" s="47">
        <f>CHOOSE($E$5,E21,F21,G21)</f>
        <v>8.8999999999999996E-2</v>
      </c>
      <c r="N21" s="47">
        <f>CHOOSE($E$5,H21,I21,J21)</f>
        <v>8.8999999999999996E-2</v>
      </c>
    </row>
    <row r="22" spans="1:14" x14ac:dyDescent="0.3">
      <c r="A22" s="45" t="s">
        <v>136</v>
      </c>
      <c r="B22" s="46">
        <v>0.35499999999999998</v>
      </c>
      <c r="C22" s="46">
        <v>0.34</v>
      </c>
      <c r="D22" s="46">
        <v>0.32500000000000001</v>
      </c>
      <c r="E22" s="46">
        <v>0.35499999999999998</v>
      </c>
      <c r="F22" s="46">
        <v>0.34</v>
      </c>
      <c r="G22" s="46">
        <v>0.32500000000000001</v>
      </c>
      <c r="H22" s="46">
        <v>0.35499999999999998</v>
      </c>
      <c r="I22" s="46">
        <v>0.34</v>
      </c>
      <c r="J22" s="46">
        <v>0.32500000000000001</v>
      </c>
      <c r="L22" s="58">
        <f>CHOOSE($E$5,B22,C22,D22)</f>
        <v>0.34</v>
      </c>
      <c r="M22" s="47">
        <f>CHOOSE($E$5,E22,F22,G22)</f>
        <v>0.34</v>
      </c>
      <c r="N22" s="47">
        <f>CHOOSE($E$5,H22,I22,J22)</f>
        <v>0.34</v>
      </c>
    </row>
    <row r="23" spans="1:14" x14ac:dyDescent="0.3">
      <c r="L23" s="59"/>
    </row>
    <row r="24" spans="1:14" x14ac:dyDescent="0.3">
      <c r="A24" s="43" t="s">
        <v>222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57"/>
      <c r="M24" s="44"/>
      <c r="N24" s="44"/>
    </row>
    <row r="25" spans="1:14" x14ac:dyDescent="0.3">
      <c r="A25" s="45" t="s">
        <v>129</v>
      </c>
      <c r="B25" s="46">
        <v>0.23</v>
      </c>
      <c r="C25" s="46">
        <v>0.22500000000000001</v>
      </c>
      <c r="D25" s="46">
        <v>0.22</v>
      </c>
      <c r="E25" s="46">
        <v>0.23</v>
      </c>
      <c r="F25" s="46">
        <v>0.22500000000000001</v>
      </c>
      <c r="G25" s="46">
        <v>0.22</v>
      </c>
      <c r="H25" s="46">
        <v>0.23</v>
      </c>
      <c r="I25" s="46">
        <v>0.22500000000000001</v>
      </c>
      <c r="J25" s="46">
        <v>0.22</v>
      </c>
      <c r="L25" s="58">
        <f>CHOOSE($E$5,B25,C25,D25)</f>
        <v>0.22500000000000001</v>
      </c>
      <c r="M25" s="47">
        <f>CHOOSE($E$5,E25,F25,G25)</f>
        <v>0.22500000000000001</v>
      </c>
      <c r="N25" s="47">
        <f>CHOOSE($E$5,H25,I25,J25)</f>
        <v>0.22500000000000001</v>
      </c>
    </row>
    <row r="26" spans="1:14" x14ac:dyDescent="0.3">
      <c r="A26" s="45" t="s">
        <v>223</v>
      </c>
      <c r="B26" s="48">
        <v>-26000</v>
      </c>
      <c r="C26" s="48">
        <v>-26000</v>
      </c>
      <c r="D26" s="48">
        <v>-26000</v>
      </c>
      <c r="E26" s="48">
        <v>-26000</v>
      </c>
      <c r="F26" s="48">
        <v>-26000</v>
      </c>
      <c r="G26" s="48">
        <v>-26000</v>
      </c>
      <c r="H26" s="48">
        <v>-26000</v>
      </c>
      <c r="I26" s="48">
        <v>-26000</v>
      </c>
      <c r="J26" s="48">
        <v>-26000</v>
      </c>
      <c r="L26" s="60">
        <f>CHOOSE($E$5,B26,C26,D26)</f>
        <v>-26000</v>
      </c>
      <c r="M26" s="49">
        <f>CHOOSE($E$5,E26,F26,G26)</f>
        <v>-26000</v>
      </c>
      <c r="N26" s="49">
        <f>CHOOSE($E$5,H26,I26,J26)</f>
        <v>-26000</v>
      </c>
    </row>
    <row r="27" spans="1:14" x14ac:dyDescent="0.3">
      <c r="A27" s="45" t="s">
        <v>224</v>
      </c>
      <c r="B27" s="46">
        <v>0.12</v>
      </c>
      <c r="C27" s="46">
        <v>0.12</v>
      </c>
      <c r="D27" s="46">
        <v>0.12</v>
      </c>
      <c r="E27" s="46">
        <v>0.12</v>
      </c>
      <c r="F27" s="46">
        <v>0.12</v>
      </c>
      <c r="G27" s="46">
        <v>0.12</v>
      </c>
      <c r="H27" s="46">
        <v>0.12</v>
      </c>
      <c r="I27" s="46">
        <v>0.12</v>
      </c>
      <c r="J27" s="46">
        <v>0.12</v>
      </c>
      <c r="L27" s="58">
        <f>CHOOSE($E$5,B27,C27,D27)</f>
        <v>0.12</v>
      </c>
      <c r="M27" s="47">
        <f>CHOOSE($E$5,E27,F27,G27)</f>
        <v>0.12</v>
      </c>
      <c r="N27" s="47">
        <f>CHOOSE($E$5,H27,I27,J27)</f>
        <v>0.12</v>
      </c>
    </row>
    <row r="28" spans="1:14" x14ac:dyDescent="0.3">
      <c r="L28" s="59"/>
    </row>
    <row r="29" spans="1:14" x14ac:dyDescent="0.3">
      <c r="A29" s="43" t="s">
        <v>225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57"/>
      <c r="M29" s="44"/>
      <c r="N29" s="44"/>
    </row>
    <row r="30" spans="1:14" x14ac:dyDescent="0.3">
      <c r="A30" s="45" t="s">
        <v>192</v>
      </c>
      <c r="B30" s="50">
        <v>40</v>
      </c>
      <c r="C30" s="50">
        <v>40</v>
      </c>
      <c r="D30" s="50">
        <v>40</v>
      </c>
      <c r="E30" s="50">
        <v>40</v>
      </c>
      <c r="F30" s="50">
        <v>40</v>
      </c>
      <c r="G30" s="50">
        <v>40</v>
      </c>
      <c r="H30" s="50">
        <v>40</v>
      </c>
      <c r="I30" s="50">
        <v>40</v>
      </c>
      <c r="J30" s="50">
        <v>40</v>
      </c>
      <c r="L30" s="61">
        <f>CHOOSE($E$5,B30,C30,D30)</f>
        <v>40</v>
      </c>
      <c r="M30" s="51">
        <f>CHOOSE($E$5,E30,F30,G30)</f>
        <v>40</v>
      </c>
      <c r="N30" s="51">
        <f>CHOOSE($E$5,H30,I30,J30)</f>
        <v>40</v>
      </c>
    </row>
    <row r="31" spans="1:14" x14ac:dyDescent="0.3">
      <c r="A31" s="45" t="s">
        <v>193</v>
      </c>
      <c r="B31" s="50">
        <v>165</v>
      </c>
      <c r="C31" s="50">
        <v>165</v>
      </c>
      <c r="D31" s="50">
        <v>165</v>
      </c>
      <c r="E31" s="50">
        <v>165</v>
      </c>
      <c r="F31" s="50">
        <v>165</v>
      </c>
      <c r="G31" s="50">
        <v>165</v>
      </c>
      <c r="H31" s="50">
        <v>165</v>
      </c>
      <c r="I31" s="50">
        <v>165</v>
      </c>
      <c r="J31" s="50">
        <v>165</v>
      </c>
      <c r="L31" s="61">
        <f>CHOOSE($E$5,B31,C31,D31)</f>
        <v>165</v>
      </c>
      <c r="M31" s="51">
        <f>CHOOSE($E$5,E31,F31,G31)</f>
        <v>165</v>
      </c>
      <c r="N31" s="51">
        <f>CHOOSE($E$5,H31,I31,J31)</f>
        <v>165</v>
      </c>
    </row>
    <row r="32" spans="1:14" x14ac:dyDescent="0.3">
      <c r="A32" s="45" t="s">
        <v>194</v>
      </c>
      <c r="B32" s="50">
        <v>108</v>
      </c>
      <c r="C32" s="50">
        <v>108</v>
      </c>
      <c r="D32" s="50">
        <v>108</v>
      </c>
      <c r="E32" s="50">
        <v>108</v>
      </c>
      <c r="F32" s="50">
        <v>108</v>
      </c>
      <c r="G32" s="50">
        <v>108</v>
      </c>
      <c r="H32" s="50">
        <v>108</v>
      </c>
      <c r="I32" s="50">
        <v>108</v>
      </c>
      <c r="J32" s="50">
        <v>108</v>
      </c>
      <c r="L32" s="61">
        <f>CHOOSE($E$5,B32,C32,D32)</f>
        <v>108</v>
      </c>
      <c r="M32" s="51">
        <f>CHOOSE($E$5,E32,F32,G32)</f>
        <v>108</v>
      </c>
      <c r="N32" s="51">
        <f>CHOOSE($E$5,H32,I32,J32)</f>
        <v>108</v>
      </c>
    </row>
    <row r="33" spans="1:14" x14ac:dyDescent="0.3">
      <c r="A33" s="45" t="s">
        <v>226</v>
      </c>
      <c r="B33" s="46">
        <v>3.6999999999999998E-2</v>
      </c>
      <c r="C33" s="46">
        <v>3.6999999999999998E-2</v>
      </c>
      <c r="D33" s="46">
        <v>3.6999999999999998E-2</v>
      </c>
      <c r="E33" s="46">
        <v>3.6999999999999998E-2</v>
      </c>
      <c r="F33" s="46">
        <v>3.6999999999999998E-2</v>
      </c>
      <c r="G33" s="46">
        <v>3.6999999999999998E-2</v>
      </c>
      <c r="H33" s="46">
        <v>3.6999999999999998E-2</v>
      </c>
      <c r="I33" s="46">
        <v>3.6999999999999998E-2</v>
      </c>
      <c r="J33" s="46">
        <v>3.6999999999999998E-2</v>
      </c>
      <c r="L33" s="58">
        <f>CHOOSE($E$5,B33,C33,D33)</f>
        <v>3.6999999999999998E-2</v>
      </c>
      <c r="M33" s="47">
        <f>CHOOSE($E$5,E33,F33,G33)</f>
        <v>3.6999999999999998E-2</v>
      </c>
      <c r="N33" s="47">
        <f>CHOOSE($E$5,H33,I33,J33)</f>
        <v>3.6999999999999998E-2</v>
      </c>
    </row>
    <row r="34" spans="1:14" x14ac:dyDescent="0.3">
      <c r="A34" s="45" t="s">
        <v>227</v>
      </c>
      <c r="B34" s="46">
        <v>3.4000000000000002E-2</v>
      </c>
      <c r="C34" s="46">
        <v>3.4000000000000002E-2</v>
      </c>
      <c r="D34" s="46">
        <v>3.4000000000000002E-2</v>
      </c>
      <c r="E34" s="46">
        <v>3.4000000000000002E-2</v>
      </c>
      <c r="F34" s="46">
        <v>3.4000000000000002E-2</v>
      </c>
      <c r="G34" s="46">
        <v>3.4000000000000002E-2</v>
      </c>
      <c r="H34" s="46">
        <v>3.4000000000000002E-2</v>
      </c>
      <c r="I34" s="46">
        <v>3.4000000000000002E-2</v>
      </c>
      <c r="J34" s="46">
        <v>3.4000000000000002E-2</v>
      </c>
      <c r="L34" s="58">
        <f>CHOOSE($E$5,B34,C34,D34)</f>
        <v>3.4000000000000002E-2</v>
      </c>
      <c r="M34" s="47">
        <f>CHOOSE($E$5,E34,F34,G34)</f>
        <v>3.4000000000000002E-2</v>
      </c>
      <c r="N34" s="47">
        <f>CHOOSE($E$5,H34,I34,J34)</f>
        <v>3.4000000000000002E-2</v>
      </c>
    </row>
    <row r="35" spans="1:14" x14ac:dyDescent="0.3">
      <c r="L35" s="59"/>
    </row>
    <row r="36" spans="1:14" x14ac:dyDescent="0.3">
      <c r="A36" s="43" t="s">
        <v>228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57"/>
      <c r="M36" s="44"/>
      <c r="N36" s="44"/>
    </row>
    <row r="37" spans="1:14" x14ac:dyDescent="0.3">
      <c r="A37" s="45" t="s">
        <v>229</v>
      </c>
      <c r="B37" s="52">
        <v>500000</v>
      </c>
      <c r="C37" s="52">
        <v>650000</v>
      </c>
      <c r="D37" s="52">
        <v>750000</v>
      </c>
      <c r="E37" s="52">
        <v>450000</v>
      </c>
      <c r="F37" s="52">
        <v>550000</v>
      </c>
      <c r="G37" s="52">
        <v>700000</v>
      </c>
      <c r="H37" s="52">
        <v>400000</v>
      </c>
      <c r="I37" s="52">
        <v>500000</v>
      </c>
      <c r="J37" s="52">
        <v>650000</v>
      </c>
      <c r="L37" s="62">
        <f>CHOOSE($E$5,B37,C37,D37)</f>
        <v>650000</v>
      </c>
      <c r="M37" s="53">
        <f>CHOOSE($E$5,E37,F37,G37)</f>
        <v>550000</v>
      </c>
      <c r="N37" s="53">
        <f>CHOOSE($E$5,H37,I37,J37)</f>
        <v>500000</v>
      </c>
    </row>
    <row r="38" spans="1:14" x14ac:dyDescent="0.3">
      <c r="A38" s="45" t="s">
        <v>230</v>
      </c>
      <c r="B38" s="46">
        <v>0.14000000000000001</v>
      </c>
      <c r="C38" s="46">
        <v>0.14000000000000001</v>
      </c>
      <c r="D38" s="46">
        <v>0.14000000000000001</v>
      </c>
      <c r="E38" s="46">
        <v>0.14000000000000001</v>
      </c>
      <c r="F38" s="46">
        <v>0.14000000000000001</v>
      </c>
      <c r="G38" s="46">
        <v>0.14000000000000001</v>
      </c>
      <c r="H38" s="46">
        <v>0.14000000000000001</v>
      </c>
      <c r="I38" s="46">
        <v>0.14000000000000001</v>
      </c>
      <c r="J38" s="46">
        <v>0.14000000000000001</v>
      </c>
      <c r="L38" s="58">
        <f>CHOOSE($E$5,B38,C38,D38)</f>
        <v>0.14000000000000001</v>
      </c>
      <c r="M38" s="47">
        <f>CHOOSE($E$5,E38,F38,G38)</f>
        <v>0.14000000000000001</v>
      </c>
      <c r="N38" s="47">
        <f>CHOOSE($E$5,H38,I38,J38)</f>
        <v>0.14000000000000001</v>
      </c>
    </row>
    <row r="39" spans="1:14" x14ac:dyDescent="0.3">
      <c r="L39" s="59"/>
    </row>
    <row r="40" spans="1:14" x14ac:dyDescent="0.3">
      <c r="A40" s="43" t="s">
        <v>231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57"/>
      <c r="M40" s="44"/>
      <c r="N40" s="44"/>
    </row>
    <row r="41" spans="1:14" x14ac:dyDescent="0.3">
      <c r="A41" s="45" t="s">
        <v>232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L41" s="62">
        <f>CHOOSE($E$5,B41,C41,D41)</f>
        <v>0</v>
      </c>
      <c r="M41" s="53">
        <f>CHOOSE($E$5,E41,F41,G41)</f>
        <v>0</v>
      </c>
      <c r="N41" s="53">
        <f>CHOOSE($E$5,H41,I41,J41)</f>
        <v>0</v>
      </c>
    </row>
    <row r="42" spans="1:14" x14ac:dyDescent="0.3">
      <c r="A42" s="45" t="s">
        <v>233</v>
      </c>
      <c r="B42" s="52">
        <v>50000</v>
      </c>
      <c r="C42" s="52">
        <v>50000</v>
      </c>
      <c r="D42" s="52">
        <v>50000</v>
      </c>
      <c r="E42" s="52">
        <v>50000</v>
      </c>
      <c r="F42" s="52">
        <v>50000</v>
      </c>
      <c r="G42" s="52">
        <v>50000</v>
      </c>
      <c r="H42" s="52">
        <v>50000</v>
      </c>
      <c r="I42" s="52">
        <v>50000</v>
      </c>
      <c r="J42" s="52">
        <v>50000</v>
      </c>
      <c r="L42" s="62">
        <f>CHOOSE($E$5,B42,C42,D42)</f>
        <v>50000</v>
      </c>
      <c r="M42" s="53">
        <f>CHOOSE($E$5,E42,F42,G42)</f>
        <v>50000</v>
      </c>
      <c r="N42" s="53">
        <f>CHOOSE($E$5,H42,I42,J42)</f>
        <v>50000</v>
      </c>
    </row>
    <row r="43" spans="1:14" x14ac:dyDescent="0.3">
      <c r="A43" s="45" t="s">
        <v>234</v>
      </c>
      <c r="B43" s="46">
        <v>0.05</v>
      </c>
      <c r="C43" s="46">
        <v>0.05</v>
      </c>
      <c r="D43" s="46">
        <v>0.05</v>
      </c>
      <c r="E43" s="46">
        <v>0.05</v>
      </c>
      <c r="F43" s="46">
        <v>0.05</v>
      </c>
      <c r="G43" s="46">
        <v>0.05</v>
      </c>
      <c r="H43" s="46">
        <v>0.05</v>
      </c>
      <c r="I43" s="46">
        <v>0.05</v>
      </c>
      <c r="J43" s="46">
        <v>0.05</v>
      </c>
      <c r="L43" s="58">
        <f>CHOOSE($E$5,B43,C43,D43)</f>
        <v>0.05</v>
      </c>
      <c r="M43" s="47">
        <f>CHOOSE($E$5,E43,F43,G43)</f>
        <v>0.05</v>
      </c>
      <c r="N43" s="47">
        <f>CHOOSE($E$5,H43,I43,J43)</f>
        <v>0.05</v>
      </c>
    </row>
    <row r="44" spans="1:14" x14ac:dyDescent="0.3">
      <c r="L44" s="59"/>
    </row>
    <row r="45" spans="1:14" x14ac:dyDescent="0.3">
      <c r="A45" s="43" t="s">
        <v>235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57"/>
      <c r="M45" s="44"/>
      <c r="N45" s="44"/>
    </row>
    <row r="46" spans="1:14" x14ac:dyDescent="0.3">
      <c r="A46" s="45" t="s">
        <v>236</v>
      </c>
      <c r="B46" s="50">
        <v>153.80000000000001</v>
      </c>
      <c r="C46" s="50">
        <v>153.80000000000001</v>
      </c>
      <c r="D46" s="50">
        <v>153.80000000000001</v>
      </c>
      <c r="L46" s="61">
        <f>CHOOSE($E$5,B46,C46,D46)</f>
        <v>153.80000000000001</v>
      </c>
    </row>
    <row r="47" spans="1:14" x14ac:dyDescent="0.3">
      <c r="A47" s="45" t="s">
        <v>237</v>
      </c>
      <c r="B47" s="52">
        <v>150000</v>
      </c>
      <c r="C47" s="52">
        <v>350000</v>
      </c>
      <c r="D47" s="52">
        <v>500000</v>
      </c>
      <c r="E47" s="52">
        <v>150000</v>
      </c>
      <c r="F47" s="52">
        <v>350000</v>
      </c>
      <c r="G47" s="52">
        <v>500000</v>
      </c>
      <c r="H47" s="52">
        <v>150000</v>
      </c>
      <c r="I47" s="52">
        <v>350000</v>
      </c>
      <c r="J47" s="52">
        <v>500000</v>
      </c>
      <c r="L47" s="62">
        <f>CHOOSE($E$5,B47,C47,D47)</f>
        <v>350000</v>
      </c>
      <c r="M47" s="53">
        <f>CHOOSE($E$5,E47,F47,G47)</f>
        <v>350000</v>
      </c>
      <c r="N47" s="53">
        <f>CHOOSE($E$5,H47,I47,J47)</f>
        <v>350000</v>
      </c>
    </row>
    <row r="48" spans="1:14" x14ac:dyDescent="0.3">
      <c r="A48" s="45" t="s">
        <v>238</v>
      </c>
      <c r="B48" s="54">
        <v>65</v>
      </c>
      <c r="C48" s="54">
        <v>65</v>
      </c>
      <c r="D48" s="54">
        <v>65</v>
      </c>
      <c r="E48" s="54">
        <v>65</v>
      </c>
      <c r="F48" s="54">
        <v>65</v>
      </c>
      <c r="G48" s="54">
        <v>65</v>
      </c>
      <c r="H48" s="54">
        <v>65</v>
      </c>
      <c r="I48" s="54">
        <v>65</v>
      </c>
      <c r="J48" s="54">
        <v>65</v>
      </c>
      <c r="L48" s="63">
        <f>CHOOSE($E$5,B48,C48,D48)</f>
        <v>65</v>
      </c>
      <c r="M48" s="55">
        <f>CHOOSE($E$5,E48,F48,G48)</f>
        <v>65</v>
      </c>
      <c r="N48" s="55">
        <f>CHOOSE($E$5,H48,I48,J48)</f>
        <v>65</v>
      </c>
    </row>
    <row r="49" spans="1:14" x14ac:dyDescent="0.3">
      <c r="A49" s="45" t="s">
        <v>25</v>
      </c>
      <c r="B49" s="46">
        <v>0.01</v>
      </c>
      <c r="C49" s="46">
        <v>0.01</v>
      </c>
      <c r="D49" s="46">
        <v>0.01</v>
      </c>
      <c r="E49" s="46">
        <v>0.01</v>
      </c>
      <c r="F49" s="46">
        <v>0.01</v>
      </c>
      <c r="G49" s="46">
        <v>0.01</v>
      </c>
      <c r="H49" s="46">
        <v>0.01</v>
      </c>
      <c r="I49" s="46">
        <v>0.01</v>
      </c>
      <c r="J49" s="46">
        <v>0.01</v>
      </c>
      <c r="L49" s="58">
        <f>CHOOSE($E$5,B49,C49,D49)</f>
        <v>0.01</v>
      </c>
      <c r="M49" s="47">
        <f>CHOOSE($E$5,E49,F49,G49)</f>
        <v>0.01</v>
      </c>
      <c r="N49" s="47">
        <f>CHOOSE($E$5,H49,I49,J49)</f>
        <v>0.01</v>
      </c>
    </row>
  </sheetData>
  <mergeCells count="4">
    <mergeCell ref="B10:D10"/>
    <mergeCell ref="E10:G10"/>
    <mergeCell ref="H10:J10"/>
    <mergeCell ref="L10:N10"/>
  </mergeCells>
  <dataValidations count="1">
    <dataValidation type="list" showErrorMessage="1" errorTitle="Invalid scenario" error="Choose Bear, Base, or Bull." promptTitle="Scenario" prompt="Pick the live scenario (drives the Active columns)." sqref="B5" xr:uid="{00000000-0002-0000-0200-000000000000}">
      <formula1>"Bear,Base,Bull"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" customWidth="1"/>
    <col min="2" max="5" width="14" customWidth="1"/>
    <col min="6" max="6" width="3" customWidth="1"/>
  </cols>
  <sheetData>
    <row r="1" spans="1:5" ht="17.399999999999999" customHeight="1" x14ac:dyDescent="0.3">
      <c r="A1" s="64" t="s">
        <v>0</v>
      </c>
    </row>
    <row r="2" spans="1:5" ht="15.6" customHeight="1" x14ac:dyDescent="0.3">
      <c r="A2" s="65" t="s">
        <v>239</v>
      </c>
    </row>
    <row r="3" spans="1:5" x14ac:dyDescent="0.3">
      <c r="A3" s="66" t="s">
        <v>240</v>
      </c>
    </row>
    <row r="5" spans="1:5" x14ac:dyDescent="0.3">
      <c r="A5" s="67" t="s">
        <v>241</v>
      </c>
      <c r="B5" s="38" t="s">
        <v>116</v>
      </c>
      <c r="C5" s="38" t="s">
        <v>242</v>
      </c>
      <c r="D5" s="38" t="s">
        <v>243</v>
      </c>
      <c r="E5" s="38" t="s">
        <v>244</v>
      </c>
    </row>
    <row r="6" spans="1:5" x14ac:dyDescent="0.3">
      <c r="A6" s="68" t="s">
        <v>245</v>
      </c>
      <c r="B6" s="69"/>
      <c r="C6" s="69"/>
      <c r="D6" s="69"/>
      <c r="E6" s="69"/>
    </row>
    <row r="7" spans="1:5" x14ac:dyDescent="0.3">
      <c r="A7" s="70" t="s">
        <v>246</v>
      </c>
      <c r="C7" s="71">
        <f>'Historical Financials'!F55</f>
        <v>1834930</v>
      </c>
      <c r="D7" s="49">
        <f>C10</f>
        <v>2228039.7999999998</v>
      </c>
      <c r="E7" s="49">
        <f>D10</f>
        <v>2466114.2279999997</v>
      </c>
    </row>
    <row r="8" spans="1:5" x14ac:dyDescent="0.3">
      <c r="A8" s="70" t="s">
        <v>247</v>
      </c>
      <c r="C8" s="71">
        <f>CapEx_25</f>
        <v>650000</v>
      </c>
      <c r="D8" s="71">
        <f>CapEx_26</f>
        <v>550000</v>
      </c>
      <c r="E8" s="71">
        <f>CapEx_27</f>
        <v>500000</v>
      </c>
    </row>
    <row r="9" spans="1:5" x14ac:dyDescent="0.3">
      <c r="A9" s="70" t="s">
        <v>248</v>
      </c>
      <c r="C9" s="71">
        <f>-C7*DA_Rate</f>
        <v>-256890.2</v>
      </c>
      <c r="D9" s="71">
        <f>-D7*DA_Rate</f>
        <v>-311925.57199999999</v>
      </c>
      <c r="E9" s="71">
        <f>-E7*DA_Rate</f>
        <v>-345255.99192</v>
      </c>
    </row>
    <row r="10" spans="1:5" x14ac:dyDescent="0.3">
      <c r="A10" s="72" t="s">
        <v>249</v>
      </c>
      <c r="B10" s="73">
        <f>'Historical Financials'!F55</f>
        <v>1834930</v>
      </c>
      <c r="C10" s="74">
        <f>C7+C8+C9</f>
        <v>2228039.7999999998</v>
      </c>
      <c r="D10" s="74">
        <f>D7+D8+D9</f>
        <v>2466114.2279999997</v>
      </c>
      <c r="E10" s="74">
        <f>E7+E8+E9</f>
        <v>2620858.2360799997</v>
      </c>
    </row>
    <row r="11" spans="1:5" x14ac:dyDescent="0.3">
      <c r="A11" s="75" t="s">
        <v>250</v>
      </c>
      <c r="C11" s="49">
        <f>-C9</f>
        <v>256890.2</v>
      </c>
      <c r="D11" s="49">
        <f>-D9</f>
        <v>311925.57199999999</v>
      </c>
      <c r="E11" s="49">
        <f>-E9</f>
        <v>345255.99192</v>
      </c>
    </row>
    <row r="13" spans="1:5" x14ac:dyDescent="0.3">
      <c r="A13" s="68" t="s">
        <v>251</v>
      </c>
      <c r="B13" s="69"/>
      <c r="C13" s="69"/>
      <c r="D13" s="69"/>
      <c r="E13" s="69"/>
    </row>
    <row r="14" spans="1:5" x14ac:dyDescent="0.3">
      <c r="A14" s="70" t="s">
        <v>252</v>
      </c>
      <c r="C14" s="71">
        <f>'Historical Financials'!F112</f>
        <v>454919</v>
      </c>
      <c r="D14" s="49">
        <f>C17</f>
        <v>404919</v>
      </c>
      <c r="E14" s="49">
        <f>D17</f>
        <v>354919</v>
      </c>
    </row>
    <row r="15" spans="1:5" x14ac:dyDescent="0.3">
      <c r="A15" s="70" t="s">
        <v>253</v>
      </c>
      <c r="C15" s="71">
        <f>New_Borrow</f>
        <v>0</v>
      </c>
      <c r="D15" s="71">
        <f>New_Borrow</f>
        <v>0</v>
      </c>
      <c r="E15" s="71">
        <f>New_Borrow</f>
        <v>0</v>
      </c>
    </row>
    <row r="16" spans="1:5" x14ac:dyDescent="0.3">
      <c r="A16" s="70" t="s">
        <v>254</v>
      </c>
      <c r="C16" s="71">
        <f>-Repay</f>
        <v>-50000</v>
      </c>
      <c r="D16" s="71">
        <f>-Repay</f>
        <v>-50000</v>
      </c>
      <c r="E16" s="71">
        <f>-Repay</f>
        <v>-50000</v>
      </c>
    </row>
    <row r="17" spans="1:7" x14ac:dyDescent="0.3">
      <c r="A17" s="72" t="s">
        <v>255</v>
      </c>
      <c r="B17" s="73">
        <f>'Historical Financials'!F112</f>
        <v>454919</v>
      </c>
      <c r="C17" s="74">
        <f>C14+C15+C16</f>
        <v>404919</v>
      </c>
      <c r="D17" s="74">
        <f>D14+D15+D16</f>
        <v>354919</v>
      </c>
      <c r="E17" s="74">
        <f>E14+E15+E16</f>
        <v>304919</v>
      </c>
    </row>
    <row r="18" spans="1:7" x14ac:dyDescent="0.3">
      <c r="A18" s="70" t="s">
        <v>256</v>
      </c>
      <c r="C18" s="71">
        <f>C14*Int_Rate</f>
        <v>22745.95</v>
      </c>
      <c r="D18" s="71">
        <f>D14*Int_Rate</f>
        <v>20245.95</v>
      </c>
      <c r="E18" s="71">
        <f>E14*Int_Rate</f>
        <v>17745.95</v>
      </c>
      <c r="G18" s="76" t="s">
        <v>257</v>
      </c>
    </row>
    <row r="19" spans="1:7" x14ac:dyDescent="0.3">
      <c r="A19" s="70" t="s">
        <v>258</v>
      </c>
      <c r="C19" s="71">
        <f>Repay</f>
        <v>50000</v>
      </c>
      <c r="D19" s="71">
        <f>Repay</f>
        <v>50000</v>
      </c>
      <c r="E19" s="71">
        <f>Repay</f>
        <v>50000</v>
      </c>
    </row>
    <row r="20" spans="1:7" x14ac:dyDescent="0.3">
      <c r="A20" s="70" t="s">
        <v>259</v>
      </c>
      <c r="C20" s="49">
        <f>C17-C19</f>
        <v>354919</v>
      </c>
      <c r="D20" s="49">
        <f>D17-D19</f>
        <v>304919</v>
      </c>
      <c r="E20" s="49">
        <f>E17-E19</f>
        <v>254919</v>
      </c>
    </row>
    <row r="22" spans="1:7" x14ac:dyDescent="0.3">
      <c r="A22" s="68" t="s">
        <v>260</v>
      </c>
      <c r="B22" s="69"/>
      <c r="C22" s="69"/>
      <c r="D22" s="69"/>
      <c r="E22" s="69"/>
    </row>
    <row r="23" spans="1:7" x14ac:dyDescent="0.3">
      <c r="A23" s="70" t="s">
        <v>261</v>
      </c>
      <c r="C23" s="77">
        <f>Shares_Begin</f>
        <v>153.80000000000001</v>
      </c>
      <c r="D23" s="51">
        <f>C26</f>
        <v>149.91758923076924</v>
      </c>
      <c r="E23" s="51">
        <f>D26</f>
        <v>146.15342752307694</v>
      </c>
    </row>
    <row r="24" spans="1:7" x14ac:dyDescent="0.3">
      <c r="A24" s="70" t="s">
        <v>262</v>
      </c>
      <c r="C24" s="78">
        <f>-Repurchase/Repurchase_Price/1000</f>
        <v>-5.384615384615385</v>
      </c>
      <c r="D24" s="78">
        <f>-Repurchase/Repurchase_Price/1000</f>
        <v>-5.384615384615385</v>
      </c>
      <c r="E24" s="78">
        <f>-Repurchase/Repurchase_Price/1000</f>
        <v>-5.384615384615385</v>
      </c>
    </row>
    <row r="25" spans="1:7" x14ac:dyDescent="0.3">
      <c r="A25" s="45" t="s">
        <v>263</v>
      </c>
      <c r="C25" s="78">
        <f>('Income Statement Forecast'!C18*SBC_Pct)/Repurchase_Price/1000</f>
        <v>1.5022046153846154</v>
      </c>
      <c r="D25" s="78">
        <f>('Income Statement Forecast'!D18*SBC_Pct)/Repurchase_Price/1000</f>
        <v>1.6204536769230775</v>
      </c>
      <c r="E25" s="78">
        <f>('Income Statement Forecast'!E18*SBC_Pct)/Repurchase_Price/1000</f>
        <v>1.7319541624615389</v>
      </c>
      <c r="G25" s="81" t="s">
        <v>264</v>
      </c>
    </row>
    <row r="26" spans="1:7" x14ac:dyDescent="0.3">
      <c r="A26" s="72" t="s">
        <v>265</v>
      </c>
      <c r="B26" s="79">
        <f>'Historical Financials'!F30</f>
        <v>153.80000000000001</v>
      </c>
      <c r="C26" s="80">
        <f>C23+C24+C25</f>
        <v>149.91758923076924</v>
      </c>
      <c r="D26" s="80">
        <f>D23+D24+D25</f>
        <v>146.15342752307694</v>
      </c>
      <c r="E26" s="80">
        <f>E23+E24+E25</f>
        <v>142.50076630092309</v>
      </c>
    </row>
    <row r="28" spans="1:7" x14ac:dyDescent="0.3">
      <c r="A28" s="76" t="s">
        <v>266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" customWidth="1"/>
    <col min="2" max="5" width="14" customWidth="1"/>
    <col min="6" max="6" width="3" customWidth="1"/>
    <col min="7" max="7" width="13" customWidth="1"/>
  </cols>
  <sheetData>
    <row r="1" spans="1:5" ht="17.399999999999999" customHeight="1" x14ac:dyDescent="0.3">
      <c r="A1" s="64" t="s">
        <v>0</v>
      </c>
    </row>
    <row r="2" spans="1:5" ht="15.6" customHeight="1" x14ac:dyDescent="0.3">
      <c r="A2" s="65" t="s">
        <v>267</v>
      </c>
    </row>
    <row r="3" spans="1:5" x14ac:dyDescent="0.3">
      <c r="A3" s="66" t="s">
        <v>268</v>
      </c>
    </row>
    <row r="5" spans="1:5" x14ac:dyDescent="0.3">
      <c r="A5" s="82" t="s">
        <v>269</v>
      </c>
      <c r="B5" s="83" t="s">
        <v>116</v>
      </c>
      <c r="C5" s="83" t="s">
        <v>242</v>
      </c>
      <c r="D5" s="83" t="s">
        <v>243</v>
      </c>
      <c r="E5" s="83" t="s">
        <v>244</v>
      </c>
    </row>
    <row r="7" spans="1:5" x14ac:dyDescent="0.3">
      <c r="A7" s="68" t="s">
        <v>270</v>
      </c>
      <c r="B7" s="84"/>
      <c r="C7" s="84"/>
      <c r="D7" s="84"/>
      <c r="E7" s="84"/>
    </row>
    <row r="8" spans="1:5" x14ac:dyDescent="0.3">
      <c r="A8" s="45" t="s">
        <v>271</v>
      </c>
      <c r="B8" s="71">
        <f>'Historical Financials'!F37</f>
        <v>5100500</v>
      </c>
      <c r="C8" s="71">
        <f>B8*(1+Wh_Growth_25)</f>
        <v>5508540</v>
      </c>
      <c r="D8" s="71">
        <f>C8*(1+Wh_Growth_26)</f>
        <v>5894137.8000000007</v>
      </c>
      <c r="E8" s="71">
        <f>D8*(1+Wh_Growth_27)</f>
        <v>6247786.0680000009</v>
      </c>
    </row>
    <row r="9" spans="1:5" x14ac:dyDescent="0.3">
      <c r="A9" s="45" t="s">
        <v>272</v>
      </c>
      <c r="B9" s="71">
        <f>'Historical Financials'!F41</f>
        <v>3868900</v>
      </c>
      <c r="C9" s="71">
        <f>B9*(1+DTC_Growth_25)</f>
        <v>4255790</v>
      </c>
      <c r="D9" s="71">
        <f>C9*(1+DTC_Growth_26)</f>
        <v>4638811.1000000006</v>
      </c>
      <c r="E9" s="71">
        <f>D9*(1+DTC_Growth_27)</f>
        <v>5009915.9880000008</v>
      </c>
    </row>
    <row r="10" spans="1:5" x14ac:dyDescent="0.3">
      <c r="A10" s="85" t="s">
        <v>8</v>
      </c>
      <c r="B10" s="74">
        <f>B8+B9</f>
        <v>8969400</v>
      </c>
      <c r="C10" s="74">
        <f>C8+C9</f>
        <v>9764330</v>
      </c>
      <c r="D10" s="74">
        <f>D8+D9</f>
        <v>10532948.900000002</v>
      </c>
      <c r="E10" s="74">
        <f>E8+E9</f>
        <v>11257702.056000002</v>
      </c>
    </row>
    <row r="11" spans="1:5" x14ac:dyDescent="0.3">
      <c r="A11" s="45" t="s">
        <v>273</v>
      </c>
      <c r="B11" s="47">
        <f>B9/B10</f>
        <v>0.43134434856289161</v>
      </c>
      <c r="C11" s="47">
        <f>C9/C10</f>
        <v>0.43585069328873566</v>
      </c>
      <c r="D11" s="47">
        <f>D9/D10</f>
        <v>0.44040953241499153</v>
      </c>
      <c r="E11" s="47">
        <f>E9/E10</f>
        <v>0.44502119198738904</v>
      </c>
    </row>
    <row r="13" spans="1:5" x14ac:dyDescent="0.3">
      <c r="A13" s="45" t="s">
        <v>274</v>
      </c>
      <c r="C13" s="71">
        <f>C8*(1-Wh_GM_25)</f>
        <v>3112325.0999999996</v>
      </c>
      <c r="D13" s="71">
        <f>D8*(1-Wh_GM_26)</f>
        <v>3330187.8570000003</v>
      </c>
      <c r="E13" s="71">
        <f>E8*(1-Wh_GM_27)</f>
        <v>3529999.12842</v>
      </c>
    </row>
    <row r="14" spans="1:5" x14ac:dyDescent="0.3">
      <c r="A14" s="45" t="s">
        <v>275</v>
      </c>
      <c r="C14" s="71">
        <f>C9*(1-DTC_GM_25)</f>
        <v>1446968.5999999999</v>
      </c>
      <c r="D14" s="71">
        <f>D9*(1-DTC_GM_26)</f>
        <v>1577195.774</v>
      </c>
      <c r="E14" s="71">
        <f>E9*(1-DTC_GM_27)</f>
        <v>1703371.4359200001</v>
      </c>
    </row>
    <row r="15" spans="1:5" x14ac:dyDescent="0.3">
      <c r="A15" s="85" t="s">
        <v>276</v>
      </c>
      <c r="C15" s="74">
        <f>C13+C14</f>
        <v>4559293.6999999993</v>
      </c>
      <c r="D15" s="74">
        <f>D13+D14</f>
        <v>4907383.6310000001</v>
      </c>
      <c r="E15" s="74">
        <f>E13+E14</f>
        <v>5233370.56434</v>
      </c>
    </row>
    <row r="17" spans="1:7" x14ac:dyDescent="0.3">
      <c r="A17" s="68" t="s">
        <v>118</v>
      </c>
      <c r="B17" s="84"/>
      <c r="C17" s="84"/>
      <c r="D17" s="84"/>
      <c r="E17" s="84"/>
    </row>
    <row r="18" spans="1:7" x14ac:dyDescent="0.3">
      <c r="A18" s="45" t="s">
        <v>119</v>
      </c>
      <c r="B18" s="71">
        <f>'Historical Financials'!F8</f>
        <v>8969351</v>
      </c>
      <c r="C18" s="49">
        <f>C10</f>
        <v>9764330</v>
      </c>
      <c r="D18" s="49">
        <f>D10</f>
        <v>10532948.900000002</v>
      </c>
      <c r="E18" s="49">
        <f>E10</f>
        <v>11257702.056000002</v>
      </c>
    </row>
    <row r="19" spans="1:7" x14ac:dyDescent="0.3">
      <c r="A19" s="45" t="s">
        <v>121</v>
      </c>
      <c r="B19" s="71">
        <f>'Historical Financials'!F9</f>
        <v>4201912</v>
      </c>
      <c r="C19" s="49">
        <f>C15</f>
        <v>4559293.6999999993</v>
      </c>
      <c r="D19" s="49">
        <f>D15</f>
        <v>4907383.6310000001</v>
      </c>
      <c r="E19" s="49">
        <f>E15</f>
        <v>5233370.56434</v>
      </c>
    </row>
    <row r="20" spans="1:7" x14ac:dyDescent="0.3">
      <c r="A20" s="85" t="s">
        <v>38</v>
      </c>
      <c r="B20" s="74">
        <f>B18-B19</f>
        <v>4767439</v>
      </c>
      <c r="C20" s="74">
        <f>C18-C19</f>
        <v>5205036.3000000007</v>
      </c>
      <c r="D20" s="74">
        <f>D18-D19</f>
        <v>5625565.2690000022</v>
      </c>
      <c r="E20" s="74">
        <f>E18-E19</f>
        <v>6024331.4916600017</v>
      </c>
    </row>
    <row r="21" spans="1:7" x14ac:dyDescent="0.3">
      <c r="A21" s="45" t="s">
        <v>9</v>
      </c>
      <c r="B21" s="47">
        <f>B20/B18</f>
        <v>0.53152552509094586</v>
      </c>
      <c r="C21" s="47">
        <f>C20/C18</f>
        <v>0.53306640598996557</v>
      </c>
      <c r="D21" s="47">
        <f>D20/D18</f>
        <v>0.53409214479337319</v>
      </c>
      <c r="E21" s="47">
        <f>E20/E18</f>
        <v>0.53512976819716263</v>
      </c>
    </row>
    <row r="23" spans="1:7" x14ac:dyDescent="0.3">
      <c r="A23" s="45" t="s">
        <v>123</v>
      </c>
      <c r="C23" s="71">
        <f>C18*Selling_Pct_25</f>
        <v>869025.37</v>
      </c>
      <c r="D23" s="71">
        <f>D18*Selling_Pct_26</f>
        <v>937432.45210000011</v>
      </c>
      <c r="E23" s="71">
        <f>E18*Selling_Pct_27</f>
        <v>1001935.4829840001</v>
      </c>
    </row>
    <row r="24" spans="1:7" x14ac:dyDescent="0.3">
      <c r="A24" s="45" t="s">
        <v>124</v>
      </c>
      <c r="C24" s="71">
        <f>C18*GA_Pct_25</f>
        <v>3319872.2</v>
      </c>
      <c r="D24" s="71">
        <f>D18*GA_Pct_26</f>
        <v>3581202.6260000011</v>
      </c>
      <c r="E24" s="71">
        <f>E18*GA_Pct_27</f>
        <v>3827618.6990400008</v>
      </c>
    </row>
    <row r="25" spans="1:7" x14ac:dyDescent="0.3">
      <c r="A25" s="85" t="s">
        <v>125</v>
      </c>
      <c r="B25" s="73">
        <f>'Historical Financials'!F15</f>
        <v>3863182</v>
      </c>
      <c r="C25" s="74">
        <f>C23+C24</f>
        <v>4188897.5700000003</v>
      </c>
      <c r="D25" s="74">
        <f>D23+D24</f>
        <v>4518635.0781000014</v>
      </c>
      <c r="E25" s="74">
        <f>E23+E24</f>
        <v>4829554.1820240011</v>
      </c>
    </row>
    <row r="26" spans="1:7" x14ac:dyDescent="0.3">
      <c r="A26" s="85" t="s">
        <v>126</v>
      </c>
      <c r="B26" s="74">
        <f>B20-B25</f>
        <v>904257</v>
      </c>
      <c r="C26" s="74">
        <f>C20-C25</f>
        <v>1016138.7300000004</v>
      </c>
      <c r="D26" s="74">
        <f>D20-D25</f>
        <v>1106930.1909000007</v>
      </c>
      <c r="E26" s="74">
        <f>E20-E25</f>
        <v>1194777.3096360005</v>
      </c>
    </row>
    <row r="27" spans="1:7" x14ac:dyDescent="0.3">
      <c r="A27" s="45" t="s">
        <v>10</v>
      </c>
      <c r="B27" s="47">
        <f>B26/B18</f>
        <v>0.10081632439180939</v>
      </c>
      <c r="C27" s="47">
        <f>C26/C18</f>
        <v>0.10406640598996557</v>
      </c>
      <c r="D27" s="47">
        <f>D26/D18</f>
        <v>0.10509214479337316</v>
      </c>
      <c r="E27" s="47">
        <f>E26/E18</f>
        <v>0.10612976819716256</v>
      </c>
    </row>
    <row r="29" spans="1:7" x14ac:dyDescent="0.3">
      <c r="A29" s="45" t="s">
        <v>41</v>
      </c>
      <c r="C29" s="71">
        <f>-Int_Exp_25</f>
        <v>-22745.95</v>
      </c>
      <c r="D29" s="71">
        <f>-Int_Exp_26</f>
        <v>-20245.95</v>
      </c>
      <c r="E29" s="71">
        <f>-Int_Exp_27</f>
        <v>-17745.95</v>
      </c>
      <c r="G29" s="81" t="s">
        <v>277</v>
      </c>
    </row>
    <row r="30" spans="1:7" x14ac:dyDescent="0.3">
      <c r="A30" s="45" t="s">
        <v>23</v>
      </c>
      <c r="C30" s="71">
        <f>Other_Inc</f>
        <v>-26000</v>
      </c>
      <c r="D30" s="71">
        <f>Other_Inc</f>
        <v>-26000</v>
      </c>
      <c r="E30" s="71">
        <f>Other_Inc</f>
        <v>-26000</v>
      </c>
    </row>
    <row r="31" spans="1:7" x14ac:dyDescent="0.3">
      <c r="A31" s="85" t="s">
        <v>127</v>
      </c>
      <c r="C31" s="74">
        <f>C26+C29+C30</f>
        <v>967392.78000000049</v>
      </c>
      <c r="D31" s="74">
        <f>D26+D29+D30</f>
        <v>1060684.2409000008</v>
      </c>
      <c r="E31" s="74">
        <f>E26+E29+E30</f>
        <v>1151031.3596360006</v>
      </c>
    </row>
    <row r="32" spans="1:7" x14ac:dyDescent="0.3">
      <c r="A32" s="45" t="s">
        <v>278</v>
      </c>
      <c r="C32" s="71">
        <f>C31*Tax_25</f>
        <v>217663.37550000011</v>
      </c>
      <c r="D32" s="71">
        <f>D31*Tax_26</f>
        <v>238653.95420250017</v>
      </c>
      <c r="E32" s="71">
        <f>E31*Tax_27</f>
        <v>258982.05591810014</v>
      </c>
    </row>
    <row r="33" spans="1:7" x14ac:dyDescent="0.3">
      <c r="A33" s="85" t="s">
        <v>130</v>
      </c>
      <c r="C33" s="74">
        <f>C31-C32</f>
        <v>749729.40450000041</v>
      </c>
      <c r="D33" s="74">
        <f>D31-D32</f>
        <v>822030.28669750062</v>
      </c>
      <c r="E33" s="74">
        <f>E31-E32</f>
        <v>892049.30371790042</v>
      </c>
    </row>
    <row r="34" spans="1:7" x14ac:dyDescent="0.3">
      <c r="A34" s="45" t="s">
        <v>131</v>
      </c>
      <c r="C34" s="71">
        <f>C33*NCI_Pct</f>
        <v>89967.528540000043</v>
      </c>
      <c r="D34" s="71">
        <f>D33*NCI_Pct</f>
        <v>98643.634403700067</v>
      </c>
      <c r="E34" s="71">
        <f>E33*NCI_Pct</f>
        <v>107045.91644614804</v>
      </c>
    </row>
    <row r="35" spans="1:7" x14ac:dyDescent="0.3">
      <c r="A35" s="85" t="s">
        <v>132</v>
      </c>
      <c r="B35" s="73">
        <f>'Historical Financials'!F26</f>
        <v>639471</v>
      </c>
      <c r="C35" s="74">
        <f>C33-C34</f>
        <v>659761.87596000032</v>
      </c>
      <c r="D35" s="74">
        <f>D33-D34</f>
        <v>723386.65229380061</v>
      </c>
      <c r="E35" s="74">
        <f>E33-E34</f>
        <v>785003.38727175235</v>
      </c>
    </row>
    <row r="36" spans="1:7" x14ac:dyDescent="0.3">
      <c r="A36" s="45" t="s">
        <v>133</v>
      </c>
      <c r="B36" s="47">
        <f>B35/B18</f>
        <v>7.1295124920409514E-2</v>
      </c>
      <c r="C36" s="47">
        <f>C35/C18</f>
        <v>6.7568576232061014E-2</v>
      </c>
      <c r="D36" s="47">
        <f>D35/D18</f>
        <v>6.8678454548830148E-2</v>
      </c>
      <c r="E36" s="47">
        <f>E35/E18</f>
        <v>6.9730339581457496E-2</v>
      </c>
    </row>
    <row r="38" spans="1:7" x14ac:dyDescent="0.3">
      <c r="A38" s="31" t="s">
        <v>12</v>
      </c>
      <c r="B38" s="86">
        <f>'Historical Financials'!F29</f>
        <v>4.16</v>
      </c>
      <c r="C38" s="86">
        <f>C35/Shares_End_25/1000</f>
        <v>4.4008303451599931</v>
      </c>
      <c r="D38" s="86">
        <f>D35/Shares_End_26/1000</f>
        <v>4.9495017978937321</v>
      </c>
      <c r="E38" s="86">
        <f>E35/Shares_End_27/1000</f>
        <v>5.5087660764857747</v>
      </c>
      <c r="G38" s="81"/>
    </row>
    <row r="39" spans="1:7" x14ac:dyDescent="0.3">
      <c r="A39" s="45" t="s">
        <v>134</v>
      </c>
      <c r="B39" s="77">
        <f>'Historical Financials'!F30</f>
        <v>153.80000000000001</v>
      </c>
      <c r="C39" s="77">
        <f>Shares_End_25</f>
        <v>149.91758923076924</v>
      </c>
      <c r="D39" s="77">
        <f>Shares_End_26</f>
        <v>146.15342752307694</v>
      </c>
      <c r="E39" s="77">
        <f>Shares_End_27</f>
        <v>142.50076630092309</v>
      </c>
    </row>
    <row r="41" spans="1:7" x14ac:dyDescent="0.3">
      <c r="A41" s="68" t="s">
        <v>279</v>
      </c>
      <c r="B41" s="84"/>
      <c r="C41" s="84"/>
      <c r="D41" s="84"/>
      <c r="E41" s="84"/>
    </row>
    <row r="42" spans="1:7" x14ac:dyDescent="0.3">
      <c r="A42" s="45" t="s">
        <v>280</v>
      </c>
      <c r="C42" s="87">
        <f>C21-((C8*Wh_GM_25+C9*DTC_GM_25)/C10)</f>
        <v>0</v>
      </c>
      <c r="D42" s="87">
        <f>D21-((D8*Wh_GM_26+D9*DTC_GM_26)/D10)</f>
        <v>0</v>
      </c>
      <c r="E42" s="87">
        <f>E21-((E8*Wh_GM_27+E9*DTC_GM_27)/E10)</f>
        <v>0</v>
      </c>
      <c r="G42" s="81" t="s">
        <v>281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" customWidth="1"/>
    <col min="2" max="5" width="14" customWidth="1"/>
    <col min="6" max="6" width="3" customWidth="1"/>
    <col min="7" max="7" width="13" customWidth="1"/>
  </cols>
  <sheetData>
    <row r="1" spans="1:7" ht="17.399999999999999" customHeight="1" x14ac:dyDescent="0.3">
      <c r="A1" s="64" t="s">
        <v>0</v>
      </c>
    </row>
    <row r="2" spans="1:7" ht="15.6" customHeight="1" x14ac:dyDescent="0.3">
      <c r="A2" s="65" t="s">
        <v>282</v>
      </c>
    </row>
    <row r="3" spans="1:7" x14ac:dyDescent="0.3">
      <c r="A3" s="66" t="s">
        <v>283</v>
      </c>
    </row>
    <row r="5" spans="1:7" x14ac:dyDescent="0.3">
      <c r="A5" s="88" t="s">
        <v>284</v>
      </c>
      <c r="B5" s="89" t="s">
        <v>116</v>
      </c>
      <c r="C5" s="89" t="s">
        <v>242</v>
      </c>
      <c r="D5" s="89" t="s">
        <v>243</v>
      </c>
      <c r="E5" s="89" t="s">
        <v>244</v>
      </c>
    </row>
    <row r="6" spans="1:7" x14ac:dyDescent="0.3">
      <c r="A6" s="90" t="s">
        <v>285</v>
      </c>
      <c r="B6" s="90"/>
      <c r="C6" s="90"/>
      <c r="D6" s="90"/>
      <c r="E6" s="90"/>
    </row>
    <row r="7" spans="1:7" x14ac:dyDescent="0.3">
      <c r="A7" s="91" t="s">
        <v>148</v>
      </c>
      <c r="B7" s="71">
        <f>'Historical Financials'!F48</f>
        <v>1116516</v>
      </c>
      <c r="C7" s="71">
        <f>'Cash Flow Forecast'!C30</f>
        <v>1060357.0427191786</v>
      </c>
      <c r="D7" s="71">
        <f>'Cash Flow Forecast'!D30</f>
        <v>1213356.7893988707</v>
      </c>
      <c r="E7" s="71">
        <f>'Cash Flow Forecast'!E30</f>
        <v>1535080.813173319</v>
      </c>
      <c r="G7" s="66" t="s">
        <v>286</v>
      </c>
    </row>
    <row r="8" spans="1:7" x14ac:dyDescent="0.3">
      <c r="A8" s="91" t="s">
        <v>149</v>
      </c>
      <c r="B8" s="71">
        <f>'Historical Financials'!F49</f>
        <v>118470</v>
      </c>
      <c r="C8" s="49">
        <f>B8</f>
        <v>118470</v>
      </c>
      <c r="D8" s="49">
        <f>C8</f>
        <v>118470</v>
      </c>
      <c r="E8" s="49">
        <f>D8</f>
        <v>118470</v>
      </c>
    </row>
    <row r="9" spans="1:7" x14ac:dyDescent="0.3">
      <c r="A9" s="91" t="s">
        <v>150</v>
      </c>
      <c r="B9" s="71">
        <f>'Historical Financials'!F50</f>
        <v>990558</v>
      </c>
      <c r="C9" s="71">
        <f>IS_Sales_25/365*DSO</f>
        <v>1070063.5616438356</v>
      </c>
      <c r="D9" s="71">
        <f>IS_Sales_26/365*DSO</f>
        <v>1154295.7698630141</v>
      </c>
      <c r="E9" s="71">
        <f>IS_Sales_27/365*DSO</f>
        <v>1233720.7732602742</v>
      </c>
    </row>
    <row r="10" spans="1:7" x14ac:dyDescent="0.3">
      <c r="A10" s="91" t="s">
        <v>151</v>
      </c>
      <c r="B10" s="71">
        <f>'Historical Financials'!F51</f>
        <v>1919386</v>
      </c>
      <c r="C10" s="71">
        <f>IS_COGS_25/365*DIO</f>
        <v>2061050.5767123285</v>
      </c>
      <c r="D10" s="71">
        <f>IS_COGS_26/365*DIO</f>
        <v>2218406.2989452053</v>
      </c>
      <c r="E10" s="71">
        <f>IS_COGS_27/365*DIO</f>
        <v>2365770.2551126028</v>
      </c>
    </row>
    <row r="11" spans="1:7" x14ac:dyDescent="0.3">
      <c r="A11" s="91" t="s">
        <v>152</v>
      </c>
      <c r="B11" s="71">
        <f>'Historical Financials'!F52</f>
        <v>304493</v>
      </c>
      <c r="C11" s="71">
        <f>IS_Sales_25*OCA_Pct</f>
        <v>331987.22000000003</v>
      </c>
      <c r="D11" s="71">
        <f>IS_Sales_26*OCA_Pct</f>
        <v>358120.26260000007</v>
      </c>
      <c r="E11" s="71">
        <f>IS_Sales_27*OCA_Pct</f>
        <v>382761.86990400008</v>
      </c>
    </row>
    <row r="12" spans="1:7" x14ac:dyDescent="0.3">
      <c r="A12" s="92" t="s">
        <v>153</v>
      </c>
      <c r="B12" s="93">
        <f>SUM(B7:B11)</f>
        <v>4449423</v>
      </c>
      <c r="C12" s="93">
        <f>SUM(C7:C11)</f>
        <v>4641928.4010753417</v>
      </c>
      <c r="D12" s="93">
        <f>SUM(D7:D11)</f>
        <v>5062649.1208070898</v>
      </c>
      <c r="E12" s="93">
        <f>SUM(E7:E11)</f>
        <v>5635803.7114501968</v>
      </c>
    </row>
    <row r="13" spans="1:7" x14ac:dyDescent="0.3">
      <c r="A13" s="90" t="s">
        <v>287</v>
      </c>
      <c r="B13" s="90"/>
      <c r="C13" s="90"/>
      <c r="D13" s="90"/>
      <c r="E13" s="90"/>
    </row>
    <row r="14" spans="1:7" x14ac:dyDescent="0.3">
      <c r="A14" s="91" t="s">
        <v>154</v>
      </c>
      <c r="B14" s="71">
        <f>'Historical Financials'!F55</f>
        <v>1834930</v>
      </c>
      <c r="C14" s="71">
        <f>PPE_End_25</f>
        <v>2228039.7999999998</v>
      </c>
      <c r="D14" s="71">
        <f>PPE_End_26</f>
        <v>2466114.2279999997</v>
      </c>
      <c r="E14" s="71">
        <f>PPE_End_27</f>
        <v>2620858.2360799997</v>
      </c>
    </row>
    <row r="15" spans="1:7" x14ac:dyDescent="0.3">
      <c r="A15" s="91" t="s">
        <v>155</v>
      </c>
      <c r="B15" s="71">
        <f>'Historical Financials'!F56</f>
        <v>1363596</v>
      </c>
      <c r="C15" s="49">
        <f t="shared" ref="C15:E16" si="0">B15</f>
        <v>1363596</v>
      </c>
      <c r="D15" s="49">
        <f t="shared" si="0"/>
        <v>1363596</v>
      </c>
      <c r="E15" s="49">
        <f t="shared" si="0"/>
        <v>1363596</v>
      </c>
    </row>
    <row r="16" spans="1:7" x14ac:dyDescent="0.3">
      <c r="A16" s="91" t="s">
        <v>156</v>
      </c>
      <c r="B16" s="71">
        <f>'Historical Financials'!F57</f>
        <v>807809</v>
      </c>
      <c r="C16" s="49">
        <f t="shared" si="0"/>
        <v>807809</v>
      </c>
      <c r="D16" s="49">
        <f t="shared" si="0"/>
        <v>807809</v>
      </c>
      <c r="E16" s="49">
        <f t="shared" si="0"/>
        <v>807809</v>
      </c>
    </row>
    <row r="17" spans="1:5" x14ac:dyDescent="0.3">
      <c r="A17" s="92" t="s">
        <v>157</v>
      </c>
      <c r="B17" s="94">
        <f>B12+B14+B15+B16</f>
        <v>8455758</v>
      </c>
      <c r="C17" s="94">
        <f>C12+C14+C15+C16</f>
        <v>9041373.2010753416</v>
      </c>
      <c r="D17" s="94">
        <f>D12+D14+D15+D16</f>
        <v>9700168.348807089</v>
      </c>
      <c r="E17" s="94">
        <f>E12+E14+E15+E16</f>
        <v>10428066.947530197</v>
      </c>
    </row>
    <row r="19" spans="1:5" x14ac:dyDescent="0.3">
      <c r="A19" s="90" t="s">
        <v>288</v>
      </c>
      <c r="B19" s="90"/>
      <c r="C19" s="90"/>
      <c r="D19" s="90"/>
      <c r="E19" s="90"/>
    </row>
    <row r="20" spans="1:5" x14ac:dyDescent="0.3">
      <c r="A20" s="91" t="s">
        <v>158</v>
      </c>
      <c r="B20" s="71">
        <f>'Historical Financials'!F60</f>
        <v>1241838</v>
      </c>
      <c r="C20" s="71">
        <f>IS_COGS_25/365*DPO</f>
        <v>1349051.2865753423</v>
      </c>
      <c r="D20" s="71">
        <f>IS_COGS_26/365*DPO</f>
        <v>1452047.7593095889</v>
      </c>
      <c r="E20" s="71">
        <f>IS_COGS_27/365*DPO</f>
        <v>1548504.1669827944</v>
      </c>
    </row>
    <row r="21" spans="1:5" x14ac:dyDescent="0.3">
      <c r="A21" s="91" t="s">
        <v>159</v>
      </c>
      <c r="B21" s="71">
        <f>'Historical Financials'!F61</f>
        <v>330251</v>
      </c>
      <c r="C21" s="71">
        <f>IS_Sales_25*Accrued_Pct</f>
        <v>361280.20999999996</v>
      </c>
      <c r="D21" s="71">
        <f>IS_Sales_26*Accrued_Pct</f>
        <v>389719.10930000007</v>
      </c>
      <c r="E21" s="71">
        <f>IS_Sales_27*Accrued_Pct</f>
        <v>416534.97607200005</v>
      </c>
    </row>
    <row r="22" spans="1:5" x14ac:dyDescent="0.3">
      <c r="A22" s="91" t="s">
        <v>160</v>
      </c>
      <c r="B22" s="71">
        <f>'Historical Financials'!F62</f>
        <v>297926</v>
      </c>
      <c r="C22" s="49">
        <f>B22</f>
        <v>297926</v>
      </c>
      <c r="D22" s="49">
        <f>C22</f>
        <v>297926</v>
      </c>
      <c r="E22" s="49">
        <f>D22</f>
        <v>297926</v>
      </c>
    </row>
    <row r="23" spans="1:5" x14ac:dyDescent="0.3">
      <c r="A23" s="91" t="s">
        <v>161</v>
      </c>
      <c r="B23" s="71">
        <f>'Historical Financials'!F63</f>
        <v>386469</v>
      </c>
      <c r="C23" s="71">
        <f>Debt_Curr_25</f>
        <v>50000</v>
      </c>
      <c r="D23" s="71">
        <f>Debt_Curr_26</f>
        <v>50000</v>
      </c>
      <c r="E23" s="71">
        <f>Debt_Curr_27</f>
        <v>50000</v>
      </c>
    </row>
    <row r="24" spans="1:5" x14ac:dyDescent="0.3">
      <c r="A24" s="92" t="s">
        <v>162</v>
      </c>
      <c r="B24" s="93">
        <f>SUM(B20:B23)</f>
        <v>2256484</v>
      </c>
      <c r="C24" s="93">
        <f>SUM(C20:C23)</f>
        <v>2058257.4965753423</v>
      </c>
      <c r="D24" s="93">
        <f>SUM(D20:D23)</f>
        <v>2189692.8686095891</v>
      </c>
      <c r="E24" s="93">
        <f>SUM(E20:E23)</f>
        <v>2312965.1430547945</v>
      </c>
    </row>
    <row r="25" spans="1:5" x14ac:dyDescent="0.3">
      <c r="A25" s="90" t="s">
        <v>289</v>
      </c>
      <c r="B25" s="90"/>
      <c r="C25" s="90"/>
      <c r="D25" s="90"/>
      <c r="E25" s="90"/>
    </row>
    <row r="26" spans="1:5" x14ac:dyDescent="0.3">
      <c r="A26" s="91" t="s">
        <v>163</v>
      </c>
      <c r="B26" s="71">
        <f>'Historical Financials'!F66</f>
        <v>68450</v>
      </c>
      <c r="C26" s="71">
        <f>Debt_LT_25</f>
        <v>354919</v>
      </c>
      <c r="D26" s="71">
        <f>Debt_LT_26</f>
        <v>304919</v>
      </c>
      <c r="E26" s="71">
        <f>Debt_LT_27</f>
        <v>254919</v>
      </c>
    </row>
    <row r="27" spans="1:5" x14ac:dyDescent="0.3">
      <c r="A27" s="91" t="s">
        <v>164</v>
      </c>
      <c r="B27" s="71">
        <f>'Historical Financials'!F67</f>
        <v>1176290</v>
      </c>
      <c r="C27" s="49">
        <f t="shared" ref="C27:E28" si="1">B27</f>
        <v>1176290</v>
      </c>
      <c r="D27" s="49">
        <f t="shared" si="1"/>
        <v>1176290</v>
      </c>
      <c r="E27" s="49">
        <f t="shared" si="1"/>
        <v>1176290</v>
      </c>
    </row>
    <row r="28" spans="1:5" x14ac:dyDescent="0.3">
      <c r="A28" s="91" t="s">
        <v>165</v>
      </c>
      <c r="B28" s="71">
        <f>'Historical Financials'!F68</f>
        <v>134270</v>
      </c>
      <c r="C28" s="49">
        <f t="shared" si="1"/>
        <v>134270</v>
      </c>
      <c r="D28" s="49">
        <f t="shared" si="1"/>
        <v>134270</v>
      </c>
      <c r="E28" s="49">
        <f t="shared" si="1"/>
        <v>134270</v>
      </c>
    </row>
    <row r="29" spans="1:5" x14ac:dyDescent="0.3">
      <c r="A29" s="92" t="s">
        <v>166</v>
      </c>
      <c r="B29" s="94">
        <f>B24+B26+B27+B28</f>
        <v>3635494</v>
      </c>
      <c r="C29" s="94">
        <f>C24+C26+C27+C28</f>
        <v>3723736.4965753425</v>
      </c>
      <c r="D29" s="94">
        <f>D24+D26+D27+D28</f>
        <v>3805171.8686095891</v>
      </c>
      <c r="E29" s="94">
        <f>E24+E26+E27+E28</f>
        <v>3878444.1430547945</v>
      </c>
    </row>
    <row r="31" spans="1:5" x14ac:dyDescent="0.3">
      <c r="A31" s="90" t="s">
        <v>290</v>
      </c>
      <c r="B31" s="90"/>
      <c r="C31" s="90"/>
      <c r="D31" s="90"/>
      <c r="E31" s="90"/>
    </row>
    <row r="32" spans="1:5" x14ac:dyDescent="0.3">
      <c r="A32" s="91" t="s">
        <v>167</v>
      </c>
      <c r="B32" s="71">
        <f>'Historical Financials'!F71</f>
        <v>4436201</v>
      </c>
      <c r="C32" s="71">
        <f>B32+IS_NetSKX_25</f>
        <v>5095962.8759599999</v>
      </c>
      <c r="D32" s="71">
        <f>C32+IS_NetSKX_26</f>
        <v>5819349.5282538002</v>
      </c>
      <c r="E32" s="71">
        <f>D32+IS_NetSKX_27</f>
        <v>6604352.9155255528</v>
      </c>
    </row>
    <row r="33" spans="1:7" x14ac:dyDescent="0.3">
      <c r="A33" s="91" t="s">
        <v>291</v>
      </c>
      <c r="B33" s="71">
        <f>'Historical Financials'!F72-'Historical Financials'!F71</f>
        <v>384063</v>
      </c>
      <c r="C33" s="71">
        <f>B33+IS_NCI_25-Repurchase+IS_Sales_25*SBC_Pct</f>
        <v>221673.82854000002</v>
      </c>
      <c r="D33" s="71">
        <f>C33+IS_NCI_26-Repurchase+IS_Sales_26*SBC_Pct</f>
        <v>75646.951943700114</v>
      </c>
      <c r="E33" s="71">
        <f>D33+IS_NCI_27-Repurchase+IS_Sales_27*SBC_Pct</f>
        <v>-54730.111050151827</v>
      </c>
      <c r="G33" s="66" t="s">
        <v>292</v>
      </c>
    </row>
    <row r="34" spans="1:7" x14ac:dyDescent="0.3">
      <c r="A34" s="92" t="s">
        <v>293</v>
      </c>
      <c r="B34" s="93">
        <f>B32+B33</f>
        <v>4820264</v>
      </c>
      <c r="C34" s="93">
        <f>C32+C33</f>
        <v>5317636.7045</v>
      </c>
      <c r="D34" s="93">
        <f>D32+D33</f>
        <v>5894996.4801975004</v>
      </c>
      <c r="E34" s="93">
        <f>E32+E33</f>
        <v>6549622.8044754006</v>
      </c>
    </row>
    <row r="36" spans="1:7" x14ac:dyDescent="0.3">
      <c r="A36" s="92" t="s">
        <v>294</v>
      </c>
      <c r="B36" s="94">
        <f>B29+B34</f>
        <v>8455758</v>
      </c>
      <c r="C36" s="94">
        <f>C29+C34</f>
        <v>9041373.2010753416</v>
      </c>
      <c r="D36" s="94">
        <f>D29+D34</f>
        <v>9700168.348807089</v>
      </c>
      <c r="E36" s="94">
        <f>E29+E34</f>
        <v>10428066.947530195</v>
      </c>
    </row>
    <row r="38" spans="1:7" x14ac:dyDescent="0.3">
      <c r="A38" s="92" t="s">
        <v>295</v>
      </c>
      <c r="B38" s="93">
        <f>B17-B36</f>
        <v>0</v>
      </c>
      <c r="C38" s="93">
        <f>C17-C36</f>
        <v>0</v>
      </c>
      <c r="D38" s="93">
        <f>D17-D36</f>
        <v>0</v>
      </c>
      <c r="E38" s="93">
        <f>E17-E36</f>
        <v>0</v>
      </c>
    </row>
  </sheetData>
  <conditionalFormatting sqref="B38:E38">
    <cfRule type="expression" dxfId="13" priority="1">
      <formula>ABS(B38)&lt;0.5</formula>
    </cfRule>
    <cfRule type="expression" dxfId="12" priority="2">
      <formula>ABS(B38)&gt;=0.5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" customWidth="1"/>
    <col min="2" max="5" width="14" customWidth="1"/>
    <col min="6" max="6" width="3" customWidth="1"/>
    <col min="7" max="7" width="13" customWidth="1"/>
  </cols>
  <sheetData>
    <row r="1" spans="1:7" ht="17.399999999999999" customHeight="1" x14ac:dyDescent="0.3">
      <c r="A1" s="64" t="s">
        <v>0</v>
      </c>
    </row>
    <row r="2" spans="1:7" ht="15.6" customHeight="1" x14ac:dyDescent="0.3">
      <c r="A2" s="65" t="s">
        <v>296</v>
      </c>
    </row>
    <row r="3" spans="1:7" x14ac:dyDescent="0.3">
      <c r="A3" s="66" t="s">
        <v>297</v>
      </c>
    </row>
    <row r="5" spans="1:7" x14ac:dyDescent="0.3">
      <c r="A5" s="95" t="s">
        <v>284</v>
      </c>
      <c r="B5" s="96" t="s">
        <v>116</v>
      </c>
      <c r="C5" s="96" t="s">
        <v>242</v>
      </c>
      <c r="D5" s="96" t="s">
        <v>243</v>
      </c>
      <c r="E5" s="96" t="s">
        <v>244</v>
      </c>
    </row>
    <row r="6" spans="1:7" x14ac:dyDescent="0.3">
      <c r="A6" s="84" t="s">
        <v>298</v>
      </c>
      <c r="B6" s="69"/>
      <c r="C6" s="69"/>
      <c r="D6" s="69"/>
      <c r="E6" s="69"/>
    </row>
    <row r="7" spans="1:7" x14ac:dyDescent="0.3">
      <c r="A7" s="91" t="s">
        <v>44</v>
      </c>
      <c r="C7" s="71">
        <f>IS_NetEarnings_25</f>
        <v>749729.40450000041</v>
      </c>
      <c r="D7" s="71">
        <f>IS_NetEarnings_26</f>
        <v>822030.28669750062</v>
      </c>
      <c r="E7" s="71">
        <f>IS_NetEarnings_27</f>
        <v>892049.30371790042</v>
      </c>
      <c r="G7" s="66" t="s">
        <v>299</v>
      </c>
    </row>
    <row r="8" spans="1:7" x14ac:dyDescent="0.3">
      <c r="A8" s="91" t="s">
        <v>300</v>
      </c>
      <c r="C8" s="71">
        <f>DA_25</f>
        <v>256890.2</v>
      </c>
      <c r="D8" s="71">
        <f>DA_26</f>
        <v>311925.57199999999</v>
      </c>
      <c r="E8" s="71">
        <f>DA_27</f>
        <v>345255.99192</v>
      </c>
      <c r="G8" s="66" t="s">
        <v>301</v>
      </c>
    </row>
    <row r="9" spans="1:7" x14ac:dyDescent="0.3">
      <c r="A9" s="91" t="s">
        <v>302</v>
      </c>
      <c r="C9" s="71">
        <f>IS_Sales_25*SBC_Pct</f>
        <v>97643.3</v>
      </c>
      <c r="D9" s="71">
        <f>IS_Sales_26*SBC_Pct</f>
        <v>105329.48900000003</v>
      </c>
      <c r="E9" s="71">
        <f>IS_Sales_27*SBC_Pct</f>
        <v>112577.02056000002</v>
      </c>
      <c r="G9" s="66" t="s">
        <v>303</v>
      </c>
    </row>
    <row r="10" spans="1:7" x14ac:dyDescent="0.3">
      <c r="A10" s="91" t="s">
        <v>304</v>
      </c>
      <c r="C10" s="71">
        <f>'Historical Financials'!F50-BS_AR_25</f>
        <v>-79505.561643835623</v>
      </c>
      <c r="D10" s="71">
        <f>BS_AR_25-BS_AR_26</f>
        <v>-84232.208219178487</v>
      </c>
      <c r="E10" s="71">
        <f>BS_AR_26-BS_AR_27</f>
        <v>-79425.003397260094</v>
      </c>
      <c r="G10" s="66" t="s">
        <v>305</v>
      </c>
    </row>
    <row r="11" spans="1:7" x14ac:dyDescent="0.3">
      <c r="A11" s="91" t="s">
        <v>306</v>
      </c>
      <c r="C11" s="71">
        <f>'Historical Financials'!F51-BS_Inventory_25</f>
        <v>-141664.57671232847</v>
      </c>
      <c r="D11" s="71">
        <f>BS_Inventory_25-BS_Inventory_26</f>
        <v>-157355.72223287681</v>
      </c>
      <c r="E11" s="71">
        <f>BS_Inventory_26-BS_Inventory_27</f>
        <v>-147363.95616739755</v>
      </c>
    </row>
    <row r="12" spans="1:7" x14ac:dyDescent="0.3">
      <c r="A12" s="91" t="s">
        <v>307</v>
      </c>
      <c r="C12" s="71">
        <f>BS_AP_25-'Historical Financials'!F60</f>
        <v>107213.2865753423</v>
      </c>
      <c r="D12" s="71">
        <f>BS_AP_26-BS_AP_25</f>
        <v>102996.47273424664</v>
      </c>
      <c r="E12" s="71">
        <f>BS_AP_27-BS_AP_26</f>
        <v>96456.407673205482</v>
      </c>
      <c r="G12" s="66" t="s">
        <v>308</v>
      </c>
    </row>
    <row r="13" spans="1:7" x14ac:dyDescent="0.3">
      <c r="A13" s="91" t="s">
        <v>309</v>
      </c>
      <c r="C13" s="71">
        <f>BS_Accrued_25-'Historical Financials'!F61</f>
        <v>31029.209999999963</v>
      </c>
      <c r="D13" s="71">
        <f>BS_Accrued_26-BS_Accrued_25</f>
        <v>28438.899300000106</v>
      </c>
      <c r="E13" s="71">
        <f>BS_Accrued_27-BS_Accrued_26</f>
        <v>26815.866771999979</v>
      </c>
    </row>
    <row r="14" spans="1:7" x14ac:dyDescent="0.3">
      <c r="A14" s="91" t="s">
        <v>310</v>
      </c>
      <c r="C14" s="71">
        <f>'Historical Financials'!F52-BS_OtherCA_25</f>
        <v>-27494.22000000003</v>
      </c>
      <c r="D14" s="71">
        <f>BS_OtherCA_25-BS_OtherCA_26</f>
        <v>-26133.042600000044</v>
      </c>
      <c r="E14" s="71">
        <f>BS_OtherCA_26-BS_OtherCA_27</f>
        <v>-24641.607304000005</v>
      </c>
    </row>
    <row r="15" spans="1:7" x14ac:dyDescent="0.3">
      <c r="A15" s="92" t="s">
        <v>311</v>
      </c>
      <c r="C15" s="97">
        <f>SUM(C7:C14)</f>
        <v>993841.0427191786</v>
      </c>
      <c r="D15" s="97">
        <f>SUM(D7:D14)</f>
        <v>1102999.7466796921</v>
      </c>
      <c r="E15" s="97">
        <f>SUM(E7:E14)</f>
        <v>1221724.0237744483</v>
      </c>
    </row>
    <row r="17" spans="1:7" x14ac:dyDescent="0.3">
      <c r="A17" s="84" t="s">
        <v>312</v>
      </c>
      <c r="B17" s="69"/>
      <c r="C17" s="69"/>
      <c r="D17" s="69"/>
      <c r="E17" s="69"/>
    </row>
    <row r="18" spans="1:7" x14ac:dyDescent="0.3">
      <c r="A18" s="91" t="s">
        <v>181</v>
      </c>
      <c r="C18" s="71">
        <f>-CapEx_25</f>
        <v>-650000</v>
      </c>
      <c r="D18" s="71">
        <f>-CapEx_26</f>
        <v>-550000</v>
      </c>
      <c r="E18" s="71">
        <f>-CapEx_27</f>
        <v>-500000</v>
      </c>
      <c r="G18" s="66" t="s">
        <v>313</v>
      </c>
    </row>
    <row r="19" spans="1:7" x14ac:dyDescent="0.3">
      <c r="A19" s="92" t="s">
        <v>314</v>
      </c>
      <c r="C19" s="97">
        <f>C18</f>
        <v>-650000</v>
      </c>
      <c r="D19" s="97">
        <f>D18</f>
        <v>-550000</v>
      </c>
      <c r="E19" s="97">
        <f>E18</f>
        <v>-500000</v>
      </c>
    </row>
    <row r="21" spans="1:7" x14ac:dyDescent="0.3">
      <c r="A21" s="84" t="s">
        <v>315</v>
      </c>
      <c r="B21" s="69"/>
      <c r="C21" s="69"/>
      <c r="D21" s="69"/>
      <c r="E21" s="69"/>
    </row>
    <row r="22" spans="1:7" x14ac:dyDescent="0.3">
      <c r="A22" s="91" t="s">
        <v>184</v>
      </c>
      <c r="C22" s="71">
        <f>New_Borrow</f>
        <v>0</v>
      </c>
      <c r="D22" s="71">
        <f>New_Borrow</f>
        <v>0</v>
      </c>
      <c r="E22" s="71">
        <f>New_Borrow</f>
        <v>0</v>
      </c>
    </row>
    <row r="23" spans="1:7" x14ac:dyDescent="0.3">
      <c r="A23" s="91" t="s">
        <v>185</v>
      </c>
      <c r="C23" s="71">
        <f>-Repay</f>
        <v>-50000</v>
      </c>
      <c r="D23" s="71">
        <f>-Repay</f>
        <v>-50000</v>
      </c>
      <c r="E23" s="71">
        <f>-Repay</f>
        <v>-50000</v>
      </c>
      <c r="G23" s="66" t="s">
        <v>316</v>
      </c>
    </row>
    <row r="24" spans="1:7" x14ac:dyDescent="0.3">
      <c r="A24" s="91" t="s">
        <v>186</v>
      </c>
      <c r="C24" s="71">
        <f>-Repurchase</f>
        <v>-350000</v>
      </c>
      <c r="D24" s="71">
        <f>-Repurchase</f>
        <v>-350000</v>
      </c>
      <c r="E24" s="71">
        <f>-Repurchase</f>
        <v>-350000</v>
      </c>
      <c r="G24" s="66" t="s">
        <v>317</v>
      </c>
    </row>
    <row r="25" spans="1:7" x14ac:dyDescent="0.3">
      <c r="A25" s="92" t="s">
        <v>318</v>
      </c>
      <c r="C25" s="97">
        <f>SUM(C22:C24)</f>
        <v>-400000</v>
      </c>
      <c r="D25" s="97">
        <f>SUM(D22:D24)</f>
        <v>-400000</v>
      </c>
      <c r="E25" s="97">
        <f>SUM(E22:E24)</f>
        <v>-400000</v>
      </c>
    </row>
    <row r="27" spans="1:7" x14ac:dyDescent="0.3">
      <c r="A27" s="84" t="s">
        <v>319</v>
      </c>
      <c r="B27" s="69"/>
      <c r="C27" s="69"/>
      <c r="D27" s="69"/>
      <c r="E27" s="69"/>
    </row>
    <row r="28" spans="1:7" x14ac:dyDescent="0.3">
      <c r="A28" s="92" t="s">
        <v>190</v>
      </c>
      <c r="C28" s="97">
        <f>C15+C19+C25</f>
        <v>-56158.9572808214</v>
      </c>
      <c r="D28" s="97">
        <f>D15+D19+D25</f>
        <v>152999.74667969206</v>
      </c>
      <c r="E28" s="97">
        <f>E15+E19+E25</f>
        <v>321724.02377444832</v>
      </c>
    </row>
    <row r="29" spans="1:7" x14ac:dyDescent="0.3">
      <c r="A29" s="91" t="s">
        <v>320</v>
      </c>
      <c r="C29" s="49">
        <f>B30</f>
        <v>1116516</v>
      </c>
      <c r="D29" s="49">
        <f>C30</f>
        <v>1060357.0427191786</v>
      </c>
      <c r="E29" s="49">
        <f>D30</f>
        <v>1213356.7893988707</v>
      </c>
      <c r="G29" s="66" t="s">
        <v>321</v>
      </c>
    </row>
    <row r="30" spans="1:7" x14ac:dyDescent="0.3">
      <c r="A30" s="92" t="s">
        <v>322</v>
      </c>
      <c r="B30" s="71">
        <f>'Historical Financials'!F48</f>
        <v>1116516</v>
      </c>
      <c r="C30" s="97">
        <f>C29+C28</f>
        <v>1060357.0427191786</v>
      </c>
      <c r="D30" s="97">
        <f>D29+D28</f>
        <v>1213356.7893988707</v>
      </c>
      <c r="E30" s="97">
        <f>E29+E28</f>
        <v>1535080.813173319</v>
      </c>
    </row>
    <row r="32" spans="1:7" x14ac:dyDescent="0.3">
      <c r="A32" s="91" t="s">
        <v>323</v>
      </c>
      <c r="C32" s="49">
        <f>C15+C18</f>
        <v>343841.0427191786</v>
      </c>
      <c r="D32" s="49">
        <f>D15+D18</f>
        <v>552999.74667969206</v>
      </c>
      <c r="E32" s="49">
        <f>E15+E18</f>
        <v>721724.02377444832</v>
      </c>
      <c r="G32" s="66" t="s">
        <v>324</v>
      </c>
    </row>
    <row r="34" spans="1:7" x14ac:dyDescent="0.3">
      <c r="A34" s="84" t="s">
        <v>325</v>
      </c>
      <c r="B34" s="69"/>
      <c r="C34" s="69"/>
      <c r="D34" s="69"/>
      <c r="E34" s="69"/>
    </row>
    <row r="35" spans="1:7" x14ac:dyDescent="0.3">
      <c r="A35" s="92" t="s">
        <v>326</v>
      </c>
      <c r="C35" s="98">
        <f>C30-BS_Cash_25</f>
        <v>0</v>
      </c>
      <c r="D35" s="98">
        <f>D30-BS_Cash_26</f>
        <v>0</v>
      </c>
      <c r="E35" s="98">
        <f>E30-BS_Cash_27</f>
        <v>0</v>
      </c>
      <c r="G35" s="66" t="s">
        <v>327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" customWidth="1"/>
    <col min="2" max="3" width="14" customWidth="1"/>
    <col min="4" max="4" width="13" customWidth="1"/>
    <col min="5" max="5" width="12" customWidth="1"/>
    <col min="6" max="6" width="60" customWidth="1"/>
  </cols>
  <sheetData>
    <row r="1" spans="1:6" ht="17.399999999999999" customHeight="1" x14ac:dyDescent="0.3">
      <c r="A1" s="64" t="s">
        <v>0</v>
      </c>
    </row>
    <row r="2" spans="1:6" ht="15.6" customHeight="1" x14ac:dyDescent="0.3">
      <c r="A2" s="65" t="s">
        <v>328</v>
      </c>
    </row>
    <row r="3" spans="1:6" x14ac:dyDescent="0.3">
      <c r="A3" s="99" t="s">
        <v>329</v>
      </c>
    </row>
    <row r="5" spans="1:6" x14ac:dyDescent="0.3">
      <c r="A5" s="100" t="s">
        <v>269</v>
      </c>
      <c r="B5" s="101" t="s">
        <v>330</v>
      </c>
      <c r="C5" s="101" t="s">
        <v>331</v>
      </c>
      <c r="D5" s="101" t="s">
        <v>332</v>
      </c>
      <c r="E5" s="101" t="s">
        <v>333</v>
      </c>
      <c r="F5" s="101" t="s">
        <v>334</v>
      </c>
    </row>
    <row r="7" spans="1:6" x14ac:dyDescent="0.3">
      <c r="A7" s="90" t="s">
        <v>335</v>
      </c>
      <c r="B7" s="102"/>
      <c r="C7" s="102"/>
      <c r="D7" s="102"/>
      <c r="E7" s="102"/>
      <c r="F7" s="102"/>
    </row>
    <row r="8" spans="1:6" ht="22.8" customHeight="1" x14ac:dyDescent="0.3">
      <c r="A8" s="91" t="s">
        <v>271</v>
      </c>
      <c r="B8" s="103">
        <v>4955280</v>
      </c>
      <c r="C8" s="104">
        <f>'Historical Financials'!F37</f>
        <v>5100500</v>
      </c>
      <c r="D8" s="105">
        <f>C8-B8</f>
        <v>145220</v>
      </c>
      <c r="E8" s="106">
        <f>IF(B8=0,"",D8/B8)</f>
        <v>2.9306113882565668E-2</v>
      </c>
      <c r="F8" s="121" t="s">
        <v>336</v>
      </c>
    </row>
    <row r="9" spans="1:6" ht="22.8" customHeight="1" x14ac:dyDescent="0.3">
      <c r="A9" s="91" t="s">
        <v>272</v>
      </c>
      <c r="B9" s="103">
        <v>3744720</v>
      </c>
      <c r="C9" s="104">
        <f>'Historical Financials'!F41</f>
        <v>3868900</v>
      </c>
      <c r="D9" s="105">
        <f>C9-B9</f>
        <v>124180</v>
      </c>
      <c r="E9" s="106">
        <f>IF(B9=0,"",D9/B9)</f>
        <v>3.3161357858531477E-2</v>
      </c>
      <c r="F9" s="121" t="s">
        <v>337</v>
      </c>
    </row>
    <row r="10" spans="1:6" ht="22.8" customHeight="1" x14ac:dyDescent="0.3">
      <c r="A10" s="107" t="s">
        <v>8</v>
      </c>
      <c r="B10" s="108">
        <v>8700000</v>
      </c>
      <c r="C10" s="109">
        <f>'Historical Financials'!F8</f>
        <v>8969351</v>
      </c>
      <c r="D10" s="110">
        <f>C10-B10</f>
        <v>269351</v>
      </c>
      <c r="E10" s="111">
        <f>IF(B10=0,"",D10/B10)</f>
        <v>3.0959885057471263E-2</v>
      </c>
      <c r="F10" s="121" t="s">
        <v>338</v>
      </c>
    </row>
    <row r="12" spans="1:6" x14ac:dyDescent="0.3">
      <c r="A12" s="90" t="s">
        <v>339</v>
      </c>
      <c r="B12" s="102"/>
      <c r="C12" s="102"/>
      <c r="D12" s="102"/>
      <c r="E12" s="102"/>
      <c r="F12" s="102"/>
    </row>
    <row r="13" spans="1:6" ht="22.8" customHeight="1" x14ac:dyDescent="0.3">
      <c r="A13" s="91" t="s">
        <v>38</v>
      </c>
      <c r="B13" s="103">
        <v>4567500</v>
      </c>
      <c r="C13" s="104">
        <f>'Historical Financials'!F10</f>
        <v>4767439</v>
      </c>
      <c r="D13" s="105">
        <f t="shared" ref="D13:D18" si="0">C13-B13</f>
        <v>199939</v>
      </c>
      <c r="E13" s="106">
        <f>IF(B13=0,"",D13/B13)</f>
        <v>4.3774274767378218E-2</v>
      </c>
      <c r="F13" s="121" t="s">
        <v>340</v>
      </c>
    </row>
    <row r="14" spans="1:6" ht="22.8" customHeight="1" x14ac:dyDescent="0.3">
      <c r="A14" s="91" t="s">
        <v>9</v>
      </c>
      <c r="B14" s="112">
        <v>0.52500000000000002</v>
      </c>
      <c r="C14" s="113">
        <f>'Historical Financials'!F10/'Historical Financials'!F8</f>
        <v>0.53152552509094586</v>
      </c>
      <c r="D14" s="106">
        <f t="shared" si="0"/>
        <v>6.5255250909458384E-3</v>
      </c>
      <c r="F14" s="121" t="s">
        <v>341</v>
      </c>
    </row>
    <row r="15" spans="1:6" ht="22.8" customHeight="1" x14ac:dyDescent="0.3">
      <c r="A15" s="91" t="s">
        <v>123</v>
      </c>
      <c r="B15" s="103">
        <v>740000</v>
      </c>
      <c r="C15" s="104">
        <f>'Historical Financials'!F13</f>
        <v>800634</v>
      </c>
      <c r="D15" s="105">
        <f t="shared" si="0"/>
        <v>60634</v>
      </c>
      <c r="E15" s="106">
        <f>IF(B15=0,"",D15/B15)</f>
        <v>8.193783783783784E-2</v>
      </c>
      <c r="F15" s="121" t="s">
        <v>342</v>
      </c>
    </row>
    <row r="16" spans="1:6" ht="22.8" customHeight="1" x14ac:dyDescent="0.3">
      <c r="A16" s="91" t="s">
        <v>343</v>
      </c>
      <c r="B16" s="103">
        <v>2914000</v>
      </c>
      <c r="C16" s="104">
        <f>'Historical Financials'!F14</f>
        <v>3062548</v>
      </c>
      <c r="D16" s="105">
        <f t="shared" si="0"/>
        <v>148548</v>
      </c>
      <c r="E16" s="106">
        <f>IF(B16=0,"",D16/B16)</f>
        <v>5.0977350720658891E-2</v>
      </c>
      <c r="F16" s="121" t="s">
        <v>344</v>
      </c>
    </row>
    <row r="17" spans="1:6" ht="22.8" customHeight="1" x14ac:dyDescent="0.3">
      <c r="A17" s="107" t="s">
        <v>126</v>
      </c>
      <c r="B17" s="108">
        <v>913500</v>
      </c>
      <c r="C17" s="109">
        <f>'Historical Financials'!F17</f>
        <v>904257</v>
      </c>
      <c r="D17" s="110">
        <f t="shared" si="0"/>
        <v>-9243</v>
      </c>
      <c r="E17" s="111">
        <f>IF(B17=0,"",D17/B17)</f>
        <v>-1.0118226600985221E-2</v>
      </c>
      <c r="F17" s="121" t="s">
        <v>345</v>
      </c>
    </row>
    <row r="18" spans="1:6" ht="22.8" customHeight="1" x14ac:dyDescent="0.3">
      <c r="A18" s="91" t="s">
        <v>10</v>
      </c>
      <c r="B18" s="112">
        <v>0.105</v>
      </c>
      <c r="C18" s="113">
        <f>'Historical Financials'!F17/'Historical Financials'!F8</f>
        <v>0.10081632439180939</v>
      </c>
      <c r="D18" s="106">
        <f t="shared" si="0"/>
        <v>-4.1836756081906068E-3</v>
      </c>
      <c r="F18" s="121" t="s">
        <v>346</v>
      </c>
    </row>
    <row r="20" spans="1:6" x14ac:dyDescent="0.3">
      <c r="A20" s="90" t="s">
        <v>347</v>
      </c>
      <c r="B20" s="102"/>
      <c r="C20" s="102"/>
      <c r="D20" s="102"/>
      <c r="E20" s="102"/>
      <c r="F20" s="102"/>
    </row>
    <row r="21" spans="1:6" ht="22.8" customHeight="1" x14ac:dyDescent="0.3">
      <c r="A21" s="92" t="s">
        <v>132</v>
      </c>
      <c r="B21" s="114">
        <v>577000</v>
      </c>
      <c r="C21" s="115">
        <f>'Historical Financials'!F26</f>
        <v>639471</v>
      </c>
      <c r="D21" s="116">
        <f>C21-B21</f>
        <v>62471</v>
      </c>
      <c r="E21" s="117">
        <f>IF(B21=0,"",D21/B21)</f>
        <v>0.1082686308492201</v>
      </c>
      <c r="F21" s="121" t="s">
        <v>348</v>
      </c>
    </row>
    <row r="22" spans="1:6" ht="22.8" customHeight="1" x14ac:dyDescent="0.3">
      <c r="A22" s="92" t="s">
        <v>12</v>
      </c>
      <c r="B22" s="118">
        <v>3.75</v>
      </c>
      <c r="C22" s="119">
        <f>'Historical Financials'!F29</f>
        <v>4.16</v>
      </c>
      <c r="D22" s="120">
        <f>C22-B22</f>
        <v>0.41000000000000014</v>
      </c>
      <c r="E22" s="117">
        <f>IF(B22=0,"",D22/B22)</f>
        <v>0.10933333333333337</v>
      </c>
      <c r="F22" s="121" t="s">
        <v>349</v>
      </c>
    </row>
  </sheetData>
  <conditionalFormatting sqref="E8:E10">
    <cfRule type="expression" dxfId="11" priority="1">
      <formula>E8&gt;=0.02</formula>
    </cfRule>
    <cfRule type="expression" dxfId="10" priority="2">
      <formula>E8&lt;=-0.02</formula>
    </cfRule>
  </conditionalFormatting>
  <conditionalFormatting sqref="E13">
    <cfRule type="expression" dxfId="9" priority="7">
      <formula>E13&gt;=0.02</formula>
    </cfRule>
    <cfRule type="expression" dxfId="8" priority="8">
      <formula>E13&lt;=-0.02</formula>
    </cfRule>
  </conditionalFormatting>
  <conditionalFormatting sqref="E15:E16">
    <cfRule type="expression" dxfId="7" priority="15">
      <formula>E15&lt;=-0.02</formula>
    </cfRule>
    <cfRule type="expression" dxfId="6" priority="16">
      <formula>E15&gt;=0.02</formula>
    </cfRule>
  </conditionalFormatting>
  <conditionalFormatting sqref="E17">
    <cfRule type="expression" dxfId="5" priority="9">
      <formula>E17&gt;=0.02</formula>
    </cfRule>
    <cfRule type="expression" dxfId="4" priority="10">
      <formula>E17&lt;=-0.02</formula>
    </cfRule>
  </conditionalFormatting>
  <conditionalFormatting sqref="E21:E22">
    <cfRule type="expression" dxfId="3" priority="11">
      <formula>E21&gt;=0.02</formula>
    </cfRule>
    <cfRule type="expression" dxfId="2" priority="12">
      <formula>E21&lt;=-0.02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7"/>
  <sheetViews>
    <sheetView showGridLines="0" tabSelected="1" workbookViewId="0">
      <pane xSplit="1" ySplit="5" topLeftCell="B42" activePane="bottomRight" state="frozen"/>
      <selection pane="topRight"/>
      <selection pane="bottomLeft"/>
      <selection pane="bottomRight" activeCell="E51" sqref="E51"/>
    </sheetView>
  </sheetViews>
  <sheetFormatPr defaultRowHeight="14.4" x14ac:dyDescent="0.3"/>
  <cols>
    <col min="1" max="1" width="40" customWidth="1"/>
    <col min="2" max="2" width="16" customWidth="1"/>
    <col min="3" max="9" width="13" customWidth="1"/>
  </cols>
  <sheetData>
    <row r="1" spans="1:4" ht="17.399999999999999" customHeight="1" x14ac:dyDescent="0.3">
      <c r="A1" s="64" t="s">
        <v>0</v>
      </c>
    </row>
    <row r="2" spans="1:4" ht="15.6" customHeight="1" x14ac:dyDescent="0.3">
      <c r="A2" s="65" t="s">
        <v>1</v>
      </c>
    </row>
    <row r="3" spans="1:4" x14ac:dyDescent="0.3">
      <c r="A3" s="99" t="s">
        <v>2</v>
      </c>
    </row>
    <row r="6" spans="1:4" x14ac:dyDescent="0.3">
      <c r="A6" s="84" t="s">
        <v>3</v>
      </c>
      <c r="B6" s="84"/>
      <c r="C6" s="84"/>
      <c r="D6" s="84"/>
    </row>
    <row r="7" spans="1:4" x14ac:dyDescent="0.3">
      <c r="A7" s="122" t="s">
        <v>4</v>
      </c>
      <c r="B7" s="83" t="s">
        <v>5</v>
      </c>
      <c r="C7" s="83" t="s">
        <v>6</v>
      </c>
      <c r="D7" s="83" t="s">
        <v>7</v>
      </c>
    </row>
    <row r="8" spans="1:4" x14ac:dyDescent="0.3">
      <c r="A8" s="91" t="s">
        <v>8</v>
      </c>
      <c r="B8" s="123">
        <v>9405554</v>
      </c>
      <c r="C8" s="124">
        <v>9764330</v>
      </c>
      <c r="D8" s="123">
        <v>10174111</v>
      </c>
    </row>
    <row r="9" spans="1:4" x14ac:dyDescent="0.3">
      <c r="A9" s="91" t="s">
        <v>9</v>
      </c>
      <c r="B9" s="125">
        <v>0.51464542120000001</v>
      </c>
      <c r="C9" s="126">
        <v>0.53306640599999999</v>
      </c>
      <c r="D9" s="125">
        <v>0.54537148950000003</v>
      </c>
    </row>
    <row r="10" spans="1:4" x14ac:dyDescent="0.3">
      <c r="A10" s="91" t="s">
        <v>10</v>
      </c>
      <c r="B10" s="125">
        <v>6.4645421199999997E-2</v>
      </c>
      <c r="C10" s="126">
        <v>0.104066406</v>
      </c>
      <c r="D10" s="125">
        <v>0.1353714895</v>
      </c>
    </row>
    <row r="11" spans="1:4" x14ac:dyDescent="0.3">
      <c r="A11" s="91" t="s">
        <v>11</v>
      </c>
      <c r="B11" s="123">
        <v>378968.16188000003</v>
      </c>
      <c r="C11" s="124">
        <v>659761.87595999998</v>
      </c>
      <c r="D11" s="123">
        <v>911908.90190399997</v>
      </c>
    </row>
    <row r="12" spans="1:4" x14ac:dyDescent="0.3">
      <c r="A12" s="91" t="s">
        <v>12</v>
      </c>
      <c r="B12" s="127">
        <v>2.4778988934399999</v>
      </c>
      <c r="C12" s="128">
        <v>4.4008303451600002</v>
      </c>
      <c r="D12" s="127">
        <v>6.1751929700500003</v>
      </c>
    </row>
    <row r="13" spans="1:4" x14ac:dyDescent="0.3">
      <c r="A13" s="91" t="s">
        <v>13</v>
      </c>
      <c r="B13" s="123">
        <v>208515.503788</v>
      </c>
      <c r="C13" s="124">
        <v>343841.04271900002</v>
      </c>
      <c r="D13" s="123">
        <v>480461.55877300003</v>
      </c>
    </row>
    <row r="14" spans="1:4" x14ac:dyDescent="0.3">
      <c r="A14" s="91" t="s">
        <v>14</v>
      </c>
      <c r="B14" s="123">
        <v>1125031.503788</v>
      </c>
      <c r="C14" s="124">
        <v>1060357.042719</v>
      </c>
      <c r="D14" s="123">
        <v>1046977.558773</v>
      </c>
    </row>
    <row r="16" spans="1:4" x14ac:dyDescent="0.3">
      <c r="A16" s="168" t="s">
        <v>15</v>
      </c>
      <c r="B16" s="167"/>
      <c r="C16" s="167"/>
      <c r="D16" s="167"/>
    </row>
    <row r="17" spans="1:4" x14ac:dyDescent="0.3">
      <c r="A17" s="167"/>
      <c r="B17" s="167"/>
      <c r="C17" s="167"/>
      <c r="D17" s="167"/>
    </row>
    <row r="18" spans="1:4" x14ac:dyDescent="0.3">
      <c r="A18" s="167"/>
      <c r="B18" s="167"/>
      <c r="C18" s="167"/>
      <c r="D18" s="167"/>
    </row>
    <row r="19" spans="1:4" x14ac:dyDescent="0.3">
      <c r="A19" s="167"/>
      <c r="B19" s="167"/>
      <c r="C19" s="167"/>
      <c r="D19" s="167"/>
    </row>
    <row r="21" spans="1:4" x14ac:dyDescent="0.3">
      <c r="A21" s="84" t="s">
        <v>16</v>
      </c>
      <c r="B21" s="84"/>
      <c r="C21" s="84"/>
      <c r="D21" s="84"/>
    </row>
    <row r="22" spans="1:4" x14ac:dyDescent="0.3">
      <c r="A22" s="129" t="s">
        <v>17</v>
      </c>
      <c r="B22" s="129"/>
    </row>
    <row r="23" spans="1:4" x14ac:dyDescent="0.3">
      <c r="A23" s="91" t="s">
        <v>18</v>
      </c>
      <c r="B23" s="123">
        <v>5100500</v>
      </c>
    </row>
    <row r="24" spans="1:4" x14ac:dyDescent="0.3">
      <c r="A24" s="91" t="s">
        <v>19</v>
      </c>
      <c r="B24" s="123">
        <v>3868900</v>
      </c>
    </row>
    <row r="25" spans="1:4" x14ac:dyDescent="0.3">
      <c r="A25" s="91" t="s">
        <v>20</v>
      </c>
      <c r="B25" s="123">
        <v>1834930</v>
      </c>
    </row>
    <row r="26" spans="1:4" x14ac:dyDescent="0.3">
      <c r="A26" s="91" t="s">
        <v>21</v>
      </c>
      <c r="B26" s="123">
        <v>333096</v>
      </c>
    </row>
    <row r="27" spans="1:4" x14ac:dyDescent="0.3">
      <c r="A27" s="91" t="s">
        <v>22</v>
      </c>
      <c r="B27" s="125">
        <v>0.05</v>
      </c>
    </row>
    <row r="28" spans="1:4" x14ac:dyDescent="0.3">
      <c r="A28" s="91" t="s">
        <v>23</v>
      </c>
      <c r="B28" s="123">
        <v>-26000</v>
      </c>
    </row>
    <row r="29" spans="1:4" x14ac:dyDescent="0.3">
      <c r="A29" s="91" t="s">
        <v>24</v>
      </c>
      <c r="B29" s="125">
        <v>0.12</v>
      </c>
    </row>
    <row r="30" spans="1:4" x14ac:dyDescent="0.3">
      <c r="A30" s="91" t="s">
        <v>25</v>
      </c>
      <c r="B30" s="125">
        <v>0.01</v>
      </c>
    </row>
    <row r="31" spans="1:4" x14ac:dyDescent="0.3">
      <c r="A31" s="91" t="s">
        <v>26</v>
      </c>
      <c r="B31" s="125">
        <v>0.14000000000000001</v>
      </c>
    </row>
    <row r="32" spans="1:4" x14ac:dyDescent="0.3">
      <c r="A32" s="91" t="s">
        <v>27</v>
      </c>
      <c r="B32" s="125">
        <v>0.22500000000000001</v>
      </c>
    </row>
    <row r="33" spans="1:2" x14ac:dyDescent="0.3">
      <c r="A33" s="91" t="s">
        <v>28</v>
      </c>
      <c r="B33" s="130">
        <f>B23+B24</f>
        <v>8969400</v>
      </c>
    </row>
    <row r="34" spans="1:2" x14ac:dyDescent="0.3">
      <c r="A34" s="91" t="s">
        <v>29</v>
      </c>
      <c r="B34" s="130">
        <f>B26*B27</f>
        <v>16654.8</v>
      </c>
    </row>
    <row r="35" spans="1:2" x14ac:dyDescent="0.3">
      <c r="A35" s="91" t="s">
        <v>30</v>
      </c>
      <c r="B35" s="130">
        <f>B31*B25</f>
        <v>256890.2</v>
      </c>
    </row>
    <row r="37" spans="1:2" x14ac:dyDescent="0.3">
      <c r="A37" s="129" t="s">
        <v>31</v>
      </c>
      <c r="B37" s="129"/>
    </row>
    <row r="38" spans="1:2" x14ac:dyDescent="0.3">
      <c r="A38" s="91" t="s">
        <v>32</v>
      </c>
      <c r="B38" s="125">
        <v>0.09</v>
      </c>
    </row>
    <row r="39" spans="1:2" x14ac:dyDescent="0.3">
      <c r="A39" s="91" t="s">
        <v>33</v>
      </c>
      <c r="B39" s="125">
        <v>0.53300000000000003</v>
      </c>
    </row>
    <row r="40" spans="1:2" x14ac:dyDescent="0.3">
      <c r="A40" s="91" t="s">
        <v>34</v>
      </c>
      <c r="B40" s="125">
        <v>0.42899999999999999</v>
      </c>
    </row>
    <row r="41" spans="1:2" x14ac:dyDescent="0.3">
      <c r="A41" s="91" t="s">
        <v>35</v>
      </c>
      <c r="B41" s="123">
        <v>650000</v>
      </c>
    </row>
    <row r="43" spans="1:2" x14ac:dyDescent="0.3">
      <c r="A43" s="129" t="s">
        <v>36</v>
      </c>
      <c r="B43" s="129"/>
    </row>
    <row r="44" spans="1:2" x14ac:dyDescent="0.3">
      <c r="A44" s="92" t="s">
        <v>8</v>
      </c>
      <c r="B44" s="124">
        <f>B33*(1+B38)</f>
        <v>9776646</v>
      </c>
    </row>
    <row r="45" spans="1:2" x14ac:dyDescent="0.3">
      <c r="A45" s="91" t="s">
        <v>37</v>
      </c>
      <c r="B45" s="130">
        <f>B44*(1-B39)</f>
        <v>4565693.682</v>
      </c>
    </row>
    <row r="46" spans="1:2" x14ac:dyDescent="0.3">
      <c r="A46" s="91" t="s">
        <v>38</v>
      </c>
      <c r="B46" s="130">
        <f>B44-B45</f>
        <v>5210952.318</v>
      </c>
    </row>
    <row r="47" spans="1:2" x14ac:dyDescent="0.3">
      <c r="A47" s="91" t="s">
        <v>9</v>
      </c>
      <c r="B47" s="47">
        <f>B46/B44</f>
        <v>0.53300000000000003</v>
      </c>
    </row>
    <row r="48" spans="1:2" x14ac:dyDescent="0.3">
      <c r="A48" s="91" t="s">
        <v>39</v>
      </c>
      <c r="B48" s="130">
        <f>B44*B40</f>
        <v>4194181.1340000001</v>
      </c>
    </row>
    <row r="49" spans="1:9" x14ac:dyDescent="0.3">
      <c r="A49" s="92" t="s">
        <v>40</v>
      </c>
      <c r="B49" s="124">
        <f>B46-B48</f>
        <v>1016771.1839999999</v>
      </c>
    </row>
    <row r="50" spans="1:9" x14ac:dyDescent="0.3">
      <c r="A50" s="91" t="s">
        <v>10</v>
      </c>
      <c r="B50" s="47">
        <f>B49/B44</f>
        <v>0.104</v>
      </c>
    </row>
    <row r="51" spans="1:9" x14ac:dyDescent="0.3">
      <c r="A51" s="91" t="s">
        <v>41</v>
      </c>
      <c r="B51" s="130">
        <f>B34</f>
        <v>16654.8</v>
      </c>
    </row>
    <row r="52" spans="1:9" x14ac:dyDescent="0.3">
      <c r="A52" s="91" t="s">
        <v>23</v>
      </c>
      <c r="B52" s="130">
        <f>B28</f>
        <v>-26000</v>
      </c>
    </row>
    <row r="53" spans="1:9" x14ac:dyDescent="0.3">
      <c r="A53" s="91" t="s">
        <v>42</v>
      </c>
      <c r="B53" s="130">
        <f>B49-B51+B52</f>
        <v>974116.38399999985</v>
      </c>
    </row>
    <row r="54" spans="1:9" x14ac:dyDescent="0.3">
      <c r="A54" s="91" t="s">
        <v>43</v>
      </c>
      <c r="B54" s="130">
        <f>B53*B32</f>
        <v>219176.18639999998</v>
      </c>
    </row>
    <row r="55" spans="1:9" x14ac:dyDescent="0.3">
      <c r="A55" s="91" t="s">
        <v>44</v>
      </c>
      <c r="B55" s="130">
        <f>B53-B54</f>
        <v>754940.19759999984</v>
      </c>
    </row>
    <row r="56" spans="1:9" x14ac:dyDescent="0.3">
      <c r="A56" s="92" t="s">
        <v>11</v>
      </c>
      <c r="B56" s="124">
        <f>B55*(1-B29)</f>
        <v>664347.37388799991</v>
      </c>
    </row>
    <row r="57" spans="1:9" x14ac:dyDescent="0.3">
      <c r="A57" s="91" t="s">
        <v>45</v>
      </c>
      <c r="B57" s="130">
        <f>B35</f>
        <v>256890.2</v>
      </c>
    </row>
    <row r="58" spans="1:9" x14ac:dyDescent="0.3">
      <c r="A58" s="91" t="s">
        <v>46</v>
      </c>
      <c r="B58" s="130">
        <f>B44*B30</f>
        <v>97766.46</v>
      </c>
    </row>
    <row r="59" spans="1:9" x14ac:dyDescent="0.3">
      <c r="A59" s="92" t="s">
        <v>47</v>
      </c>
      <c r="B59" s="124">
        <f>B55+B57+B58-B41</f>
        <v>459596.85759999976</v>
      </c>
    </row>
    <row r="62" spans="1:9" x14ac:dyDescent="0.3">
      <c r="A62" s="166" t="s">
        <v>48</v>
      </c>
      <c r="B62" s="167"/>
      <c r="C62" s="167"/>
      <c r="D62" s="167"/>
      <c r="E62" s="167"/>
      <c r="F62" s="167"/>
      <c r="G62" s="167"/>
      <c r="H62" s="167"/>
      <c r="I62" s="167"/>
    </row>
    <row r="63" spans="1:9" x14ac:dyDescent="0.3">
      <c r="A63" s="131" t="s">
        <v>49</v>
      </c>
      <c r="B63" s="132">
        <f>B56</f>
        <v>664347.37388799991</v>
      </c>
      <c r="C63" s="133">
        <v>0.5</v>
      </c>
      <c r="D63" s="133">
        <v>0.51</v>
      </c>
      <c r="E63" s="133">
        <v>0.52</v>
      </c>
      <c r="F63" s="133">
        <v>0.53</v>
      </c>
      <c r="G63" s="133">
        <v>0.54</v>
      </c>
      <c r="H63" s="133">
        <v>0.55000000000000004</v>
      </c>
      <c r="I63" s="133">
        <v>0.56000000000000005</v>
      </c>
    </row>
    <row r="64" spans="1:9" x14ac:dyDescent="0.3">
      <c r="B64" s="133">
        <v>0.04</v>
      </c>
      <c r="C64" s="130">
        <f t="shared" ref="C64:I69" si="0">(($B$33*(1+$B64))*C$63-($B$33*(1+$B64))*$B$40-$B$34+$B$28)*(1-$B$32)*(1-$B$29)</f>
        <v>422598.36467200017</v>
      </c>
      <c r="D64" s="130">
        <f t="shared" si="0"/>
        <v>486216.52499200008</v>
      </c>
      <c r="E64" s="130">
        <f t="shared" si="0"/>
        <v>549834.68531200057</v>
      </c>
      <c r="F64" s="130">
        <f t="shared" si="0"/>
        <v>613452.84563200036</v>
      </c>
      <c r="G64" s="130">
        <f t="shared" si="0"/>
        <v>677071.00595200027</v>
      </c>
      <c r="H64" s="130">
        <f t="shared" si="0"/>
        <v>740689.16627200064</v>
      </c>
      <c r="I64" s="130">
        <f t="shared" si="0"/>
        <v>804307.32659200055</v>
      </c>
    </row>
    <row r="65" spans="1:9" x14ac:dyDescent="0.3">
      <c r="B65" s="133">
        <v>0.06</v>
      </c>
      <c r="C65" s="130">
        <f t="shared" si="0"/>
        <v>431284.69040800014</v>
      </c>
      <c r="D65" s="130">
        <f t="shared" si="0"/>
        <v>496126.27688799996</v>
      </c>
      <c r="E65" s="130">
        <f t="shared" si="0"/>
        <v>560967.86336800025</v>
      </c>
      <c r="F65" s="130">
        <f t="shared" si="0"/>
        <v>625809.44984800008</v>
      </c>
      <c r="G65" s="130">
        <f t="shared" si="0"/>
        <v>690651.03632800048</v>
      </c>
      <c r="H65" s="130">
        <f t="shared" si="0"/>
        <v>755492.62280800031</v>
      </c>
      <c r="I65" s="130">
        <f t="shared" si="0"/>
        <v>820334.20928800059</v>
      </c>
    </row>
    <row r="66" spans="1:9" x14ac:dyDescent="0.3">
      <c r="B66" s="133">
        <v>0.08</v>
      </c>
      <c r="C66" s="130">
        <f t="shared" si="0"/>
        <v>439971.01614400011</v>
      </c>
      <c r="D66" s="130">
        <f t="shared" si="0"/>
        <v>506036.02878400043</v>
      </c>
      <c r="E66" s="130">
        <f t="shared" si="0"/>
        <v>572101.04142400017</v>
      </c>
      <c r="F66" s="130">
        <f t="shared" si="0"/>
        <v>638166.05406400049</v>
      </c>
      <c r="G66" s="130">
        <f t="shared" si="0"/>
        <v>704231.06670400023</v>
      </c>
      <c r="H66" s="130">
        <f t="shared" si="0"/>
        <v>770296.07934400055</v>
      </c>
      <c r="I66" s="130">
        <f t="shared" si="0"/>
        <v>836361.09198400017</v>
      </c>
    </row>
    <row r="67" spans="1:9" x14ac:dyDescent="0.3">
      <c r="B67" s="133">
        <v>0.1</v>
      </c>
      <c r="C67" s="130">
        <f t="shared" si="0"/>
        <v>448657.34187999973</v>
      </c>
      <c r="D67" s="130">
        <f t="shared" si="0"/>
        <v>515945.78068000003</v>
      </c>
      <c r="E67" s="130">
        <f t="shared" si="0"/>
        <v>583234.21947999962</v>
      </c>
      <c r="F67" s="130">
        <f t="shared" si="0"/>
        <v>650522.65827999997</v>
      </c>
      <c r="G67" s="130">
        <f t="shared" si="0"/>
        <v>717811.09708000009</v>
      </c>
      <c r="H67" s="130">
        <f t="shared" si="0"/>
        <v>785099.53587999975</v>
      </c>
      <c r="I67" s="130">
        <f t="shared" si="0"/>
        <v>852387.9746800001</v>
      </c>
    </row>
    <row r="68" spans="1:9" x14ac:dyDescent="0.3">
      <c r="B68" s="133">
        <v>0.12</v>
      </c>
      <c r="C68" s="130">
        <f t="shared" si="0"/>
        <v>457343.66761600005</v>
      </c>
      <c r="D68" s="130">
        <f t="shared" si="0"/>
        <v>525855.5325760002</v>
      </c>
      <c r="E68" s="130">
        <f t="shared" si="0"/>
        <v>594367.39753600035</v>
      </c>
      <c r="F68" s="130">
        <f t="shared" si="0"/>
        <v>662879.26249600062</v>
      </c>
      <c r="G68" s="130">
        <f t="shared" si="0"/>
        <v>731391.12745600007</v>
      </c>
      <c r="H68" s="130">
        <f t="shared" si="0"/>
        <v>799902.99241600023</v>
      </c>
      <c r="I68" s="130">
        <f t="shared" si="0"/>
        <v>868414.85737600049</v>
      </c>
    </row>
    <row r="69" spans="1:9" x14ac:dyDescent="0.3">
      <c r="B69" s="133">
        <v>0.14000000000000001</v>
      </c>
      <c r="C69" s="130">
        <f t="shared" si="0"/>
        <v>466029.99335200031</v>
      </c>
      <c r="D69" s="130">
        <f t="shared" si="0"/>
        <v>535765.28447200044</v>
      </c>
      <c r="E69" s="130">
        <f t="shared" si="0"/>
        <v>605500.57559200062</v>
      </c>
      <c r="F69" s="130">
        <f t="shared" si="0"/>
        <v>675235.86671200069</v>
      </c>
      <c r="G69" s="130">
        <f t="shared" si="0"/>
        <v>744971.15783200075</v>
      </c>
      <c r="H69" s="130">
        <f t="shared" si="0"/>
        <v>814706.44895200082</v>
      </c>
      <c r="I69" s="130">
        <f t="shared" si="0"/>
        <v>884441.74007200089</v>
      </c>
    </row>
    <row r="71" spans="1:9" x14ac:dyDescent="0.3">
      <c r="A71" s="166" t="s">
        <v>50</v>
      </c>
      <c r="B71" s="167"/>
      <c r="C71" s="167"/>
      <c r="D71" s="167"/>
      <c r="E71" s="167"/>
      <c r="F71" s="167"/>
      <c r="G71" s="167"/>
      <c r="H71" s="167"/>
      <c r="I71" s="167"/>
    </row>
    <row r="72" spans="1:9" x14ac:dyDescent="0.3">
      <c r="A72" s="131" t="s">
        <v>51</v>
      </c>
      <c r="B72" s="132">
        <f>B59</f>
        <v>459596.85759999976</v>
      </c>
      <c r="C72" s="133">
        <v>0.39</v>
      </c>
      <c r="D72" s="133">
        <v>0.4</v>
      </c>
      <c r="E72" s="133">
        <v>0.41</v>
      </c>
      <c r="F72" s="133">
        <v>0.42</v>
      </c>
      <c r="G72" s="133">
        <v>0.43</v>
      </c>
      <c r="H72" s="133">
        <v>0.44</v>
      </c>
      <c r="I72" s="133">
        <v>0.45</v>
      </c>
    </row>
    <row r="73" spans="1:9" x14ac:dyDescent="0.3">
      <c r="B73" s="133">
        <v>0.04</v>
      </c>
      <c r="C73" s="130">
        <f t="shared" ref="C73:I78" si="1">(($B$33*(1+$B73))*$B$39-($B$33*(1+$B73))*C$72-$B$34+$B$28)*(1-$B$32)+$B$35+($B$33*(1+$B73))*$B$30-$B$41</f>
        <v>700909.5952000001</v>
      </c>
      <c r="D73" s="130">
        <f t="shared" si="1"/>
        <v>628616.23119999981</v>
      </c>
      <c r="E73" s="130">
        <f t="shared" si="1"/>
        <v>556322.86720000044</v>
      </c>
      <c r="F73" s="130">
        <f t="shared" si="1"/>
        <v>484029.50320000015</v>
      </c>
      <c r="G73" s="130">
        <f t="shared" si="1"/>
        <v>411736.13920000009</v>
      </c>
      <c r="H73" s="130">
        <f t="shared" si="1"/>
        <v>339442.77520000027</v>
      </c>
      <c r="I73" s="130">
        <f t="shared" si="1"/>
        <v>267149.41119999997</v>
      </c>
    </row>
    <row r="74" spans="1:9" x14ac:dyDescent="0.3">
      <c r="B74" s="133">
        <v>0.06</v>
      </c>
      <c r="C74" s="130">
        <f t="shared" si="1"/>
        <v>722584.15030000056</v>
      </c>
      <c r="D74" s="130">
        <f t="shared" si="1"/>
        <v>648900.52930000029</v>
      </c>
      <c r="E74" s="130">
        <f t="shared" si="1"/>
        <v>575216.90830000071</v>
      </c>
      <c r="F74" s="130">
        <f t="shared" si="1"/>
        <v>501533.28730000043</v>
      </c>
      <c r="G74" s="130">
        <f t="shared" si="1"/>
        <v>427849.66630000039</v>
      </c>
      <c r="H74" s="130">
        <f t="shared" si="1"/>
        <v>354166.04530000046</v>
      </c>
      <c r="I74" s="130">
        <f t="shared" si="1"/>
        <v>280482.42430000065</v>
      </c>
    </row>
    <row r="75" spans="1:9" x14ac:dyDescent="0.3">
      <c r="B75" s="133">
        <v>0.08</v>
      </c>
      <c r="C75" s="130">
        <f t="shared" si="1"/>
        <v>744258.70540000009</v>
      </c>
      <c r="D75" s="130">
        <f t="shared" si="1"/>
        <v>669184.82740000007</v>
      </c>
      <c r="E75" s="130">
        <f t="shared" si="1"/>
        <v>594110.94940000027</v>
      </c>
      <c r="F75" s="130">
        <f t="shared" si="1"/>
        <v>519037.07140000025</v>
      </c>
      <c r="G75" s="130">
        <f t="shared" si="1"/>
        <v>443963.19340000022</v>
      </c>
      <c r="H75" s="130">
        <f t="shared" si="1"/>
        <v>368889.3154000002</v>
      </c>
      <c r="I75" s="130">
        <f t="shared" si="1"/>
        <v>293815.43739999994</v>
      </c>
    </row>
    <row r="76" spans="1:9" x14ac:dyDescent="0.3">
      <c r="B76" s="133">
        <v>0.1</v>
      </c>
      <c r="C76" s="130">
        <f t="shared" si="1"/>
        <v>765933.26050000032</v>
      </c>
      <c r="D76" s="130">
        <f t="shared" si="1"/>
        <v>689469.12550000031</v>
      </c>
      <c r="E76" s="130">
        <f t="shared" si="1"/>
        <v>613004.99050000054</v>
      </c>
      <c r="F76" s="130">
        <f t="shared" si="1"/>
        <v>536540.85550000053</v>
      </c>
      <c r="G76" s="130">
        <f t="shared" si="1"/>
        <v>460076.72050000029</v>
      </c>
      <c r="H76" s="130">
        <f t="shared" si="1"/>
        <v>383612.58550000086</v>
      </c>
      <c r="I76" s="130">
        <f t="shared" si="1"/>
        <v>307148.45050000062</v>
      </c>
    </row>
    <row r="77" spans="1:9" x14ac:dyDescent="0.3">
      <c r="B77" s="133">
        <v>0.12</v>
      </c>
      <c r="C77" s="130">
        <f t="shared" si="1"/>
        <v>787607.81560000009</v>
      </c>
      <c r="D77" s="130">
        <f t="shared" si="1"/>
        <v>709753.4236000001</v>
      </c>
      <c r="E77" s="130">
        <f t="shared" si="1"/>
        <v>631899.03160000057</v>
      </c>
      <c r="F77" s="130">
        <f t="shared" si="1"/>
        <v>554044.63960000034</v>
      </c>
      <c r="G77" s="130">
        <f t="shared" si="1"/>
        <v>476190.24760000012</v>
      </c>
      <c r="H77" s="130">
        <f t="shared" si="1"/>
        <v>398335.85559999989</v>
      </c>
      <c r="I77" s="130">
        <f t="shared" si="1"/>
        <v>320481.46360000037</v>
      </c>
    </row>
    <row r="78" spans="1:9" x14ac:dyDescent="0.3">
      <c r="B78" s="133">
        <v>0.14000000000000001</v>
      </c>
      <c r="C78" s="130">
        <f t="shared" si="1"/>
        <v>809282.37070000055</v>
      </c>
      <c r="D78" s="130">
        <f t="shared" si="1"/>
        <v>730037.72170000058</v>
      </c>
      <c r="E78" s="130">
        <f t="shared" si="1"/>
        <v>650793.07270000083</v>
      </c>
      <c r="F78" s="130">
        <f t="shared" si="1"/>
        <v>571548.42370000063</v>
      </c>
      <c r="G78" s="130">
        <f t="shared" si="1"/>
        <v>492303.77470000042</v>
      </c>
      <c r="H78" s="130">
        <f t="shared" si="1"/>
        <v>413059.12570000044</v>
      </c>
      <c r="I78" s="130">
        <f t="shared" si="1"/>
        <v>333814.47670000035</v>
      </c>
    </row>
    <row r="80" spans="1:9" x14ac:dyDescent="0.3">
      <c r="A80" s="166" t="s">
        <v>52</v>
      </c>
      <c r="B80" s="167"/>
      <c r="C80" s="167"/>
      <c r="D80" s="167"/>
      <c r="E80" s="167"/>
      <c r="F80" s="167"/>
      <c r="G80" s="167"/>
    </row>
    <row r="81" spans="1:7" x14ac:dyDescent="0.3">
      <c r="A81" s="131" t="s">
        <v>53</v>
      </c>
      <c r="B81" s="132">
        <f>B59</f>
        <v>459596.85759999976</v>
      </c>
      <c r="C81" s="134">
        <v>400000</v>
      </c>
      <c r="D81" s="134">
        <v>500000</v>
      </c>
      <c r="E81" s="134">
        <v>600000</v>
      </c>
      <c r="F81" s="134">
        <v>700000</v>
      </c>
      <c r="G81" s="134">
        <v>800000</v>
      </c>
    </row>
    <row r="82" spans="1:7" x14ac:dyDescent="0.3">
      <c r="B82" s="133">
        <v>0.04</v>
      </c>
      <c r="C82" s="130">
        <f t="shared" ref="C82:G87" si="2">(($B$33*(1+$B82))*$B$39-($B$33*(1+$B82))*$B$40-$B$34+$B$28)*(1-$B$32)+$B$35+($B$33*(1+$B82))*$B$30-C$81</f>
        <v>668965.47560000047</v>
      </c>
      <c r="D82" s="130">
        <f t="shared" si="2"/>
        <v>568965.47560000047</v>
      </c>
      <c r="E82" s="130">
        <f t="shared" si="2"/>
        <v>468965.47560000047</v>
      </c>
      <c r="F82" s="130">
        <f t="shared" si="2"/>
        <v>368965.47560000047</v>
      </c>
      <c r="G82" s="130">
        <f t="shared" si="2"/>
        <v>268965.47560000047</v>
      </c>
    </row>
    <row r="83" spans="1:7" x14ac:dyDescent="0.3">
      <c r="B83" s="133">
        <v>0.06</v>
      </c>
      <c r="C83" s="130">
        <f t="shared" si="2"/>
        <v>685218.02840000065</v>
      </c>
      <c r="D83" s="130">
        <f t="shared" si="2"/>
        <v>585218.02840000065</v>
      </c>
      <c r="E83" s="130">
        <f t="shared" si="2"/>
        <v>485218.02840000065</v>
      </c>
      <c r="F83" s="130">
        <f t="shared" si="2"/>
        <v>385218.02840000065</v>
      </c>
      <c r="G83" s="130">
        <f t="shared" si="2"/>
        <v>285218.02840000065</v>
      </c>
    </row>
    <row r="84" spans="1:7" x14ac:dyDescent="0.3">
      <c r="B84" s="133">
        <v>0.08</v>
      </c>
      <c r="C84" s="130">
        <f t="shared" si="2"/>
        <v>701470.58120000036</v>
      </c>
      <c r="D84" s="130">
        <f t="shared" si="2"/>
        <v>601470.58120000036</v>
      </c>
      <c r="E84" s="130">
        <f t="shared" si="2"/>
        <v>501470.58120000036</v>
      </c>
      <c r="F84" s="130">
        <f t="shared" si="2"/>
        <v>401470.58120000036</v>
      </c>
      <c r="G84" s="130">
        <f t="shared" si="2"/>
        <v>301470.58120000036</v>
      </c>
    </row>
    <row r="85" spans="1:7" x14ac:dyDescent="0.3">
      <c r="B85" s="133">
        <v>0.1</v>
      </c>
      <c r="C85" s="130">
        <f t="shared" si="2"/>
        <v>717723.13400000008</v>
      </c>
      <c r="D85" s="130">
        <f t="shared" si="2"/>
        <v>617723.13400000008</v>
      </c>
      <c r="E85" s="130">
        <f t="shared" si="2"/>
        <v>517723.13400000008</v>
      </c>
      <c r="F85" s="130">
        <f t="shared" si="2"/>
        <v>417723.13400000008</v>
      </c>
      <c r="G85" s="130">
        <f t="shared" si="2"/>
        <v>317723.13400000008</v>
      </c>
    </row>
    <row r="86" spans="1:7" x14ac:dyDescent="0.3">
      <c r="B86" s="133">
        <v>0.12</v>
      </c>
      <c r="C86" s="130">
        <f t="shared" si="2"/>
        <v>733975.68680000026</v>
      </c>
      <c r="D86" s="130">
        <f t="shared" si="2"/>
        <v>633975.68680000026</v>
      </c>
      <c r="E86" s="130">
        <f t="shared" si="2"/>
        <v>533975.68680000026</v>
      </c>
      <c r="F86" s="130">
        <f t="shared" si="2"/>
        <v>433975.68680000026</v>
      </c>
      <c r="G86" s="130">
        <f t="shared" si="2"/>
        <v>333975.68680000026</v>
      </c>
    </row>
    <row r="87" spans="1:7" x14ac:dyDescent="0.3">
      <c r="B87" s="133">
        <v>0.14000000000000001</v>
      </c>
      <c r="C87" s="130">
        <f t="shared" si="2"/>
        <v>750228.2396000009</v>
      </c>
      <c r="D87" s="130">
        <f t="shared" si="2"/>
        <v>650228.2396000009</v>
      </c>
      <c r="E87" s="130">
        <f t="shared" si="2"/>
        <v>550228.2396000009</v>
      </c>
      <c r="F87" s="130">
        <f t="shared" si="2"/>
        <v>450228.2396000009</v>
      </c>
      <c r="G87" s="130">
        <f t="shared" si="2"/>
        <v>350228.2396000009</v>
      </c>
    </row>
  </sheetData>
  <mergeCells count="4">
    <mergeCell ref="A80:G80"/>
    <mergeCell ref="A62:I62"/>
    <mergeCell ref="A71:I71"/>
    <mergeCell ref="A16:D19"/>
  </mergeCells>
  <pageMargins left="0.75" right="0.75" top="1" bottom="1" header="0.5" footer="0.5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51"/>
  <sheetViews>
    <sheetView showGridLines="0" tabSelected="1" workbookViewId="0">
      <pane ySplit="5" topLeftCell="A6" activePane="bottomLeft" state="frozen"/>
      <selection activeCell="E51" sqref="E51"/>
      <selection pane="bottomLeft" activeCell="E51" sqref="E51"/>
    </sheetView>
  </sheetViews>
  <sheetFormatPr defaultRowHeight="14.4" x14ac:dyDescent="0.3"/>
  <cols>
    <col min="1" max="1" width="22" customWidth="1"/>
    <col min="2" max="2" width="13" customWidth="1"/>
    <col min="3" max="5" width="12" customWidth="1"/>
    <col min="6" max="6" width="3" customWidth="1"/>
    <col min="7" max="7" width="13" customWidth="1"/>
    <col min="8" max="8" width="12" customWidth="1"/>
    <col min="9" max="16" width="11" customWidth="1"/>
    <col min="17" max="17" width="3" customWidth="1"/>
    <col min="18" max="18" width="20" customWidth="1"/>
    <col min="19" max="26" width="11" customWidth="1"/>
  </cols>
  <sheetData>
    <row r="1" spans="1:26" ht="17.399999999999999" customHeight="1" x14ac:dyDescent="0.3">
      <c r="A1" s="135" t="s">
        <v>0</v>
      </c>
    </row>
    <row r="2" spans="1:26" ht="15.6" customHeight="1" x14ac:dyDescent="0.3">
      <c r="A2" s="136" t="s">
        <v>350</v>
      </c>
    </row>
    <row r="3" spans="1:26" x14ac:dyDescent="0.3">
      <c r="A3" s="137" t="s">
        <v>351</v>
      </c>
    </row>
    <row r="4" spans="1:26" x14ac:dyDescent="0.3">
      <c r="R4" s="138" t="s">
        <v>352</v>
      </c>
    </row>
    <row r="5" spans="1:26" x14ac:dyDescent="0.3">
      <c r="A5" s="139" t="s">
        <v>353</v>
      </c>
      <c r="B5" s="140" t="s">
        <v>99</v>
      </c>
      <c r="S5" s="141" t="s">
        <v>112</v>
      </c>
      <c r="T5" s="141" t="s">
        <v>113</v>
      </c>
      <c r="U5" s="141" t="s">
        <v>114</v>
      </c>
      <c r="V5" s="141" t="s">
        <v>115</v>
      </c>
      <c r="W5" s="141" t="s">
        <v>116</v>
      </c>
      <c r="X5" s="141" t="s">
        <v>242</v>
      </c>
      <c r="Y5" s="141" t="s">
        <v>243</v>
      </c>
      <c r="Z5" s="141" t="s">
        <v>244</v>
      </c>
    </row>
    <row r="6" spans="1:26" x14ac:dyDescent="0.3">
      <c r="A6" s="142" t="s">
        <v>354</v>
      </c>
      <c r="B6" s="143">
        <f>MATCH(B5,{"FY2025","FY2026","FY2027"},0)</f>
        <v>1</v>
      </c>
      <c r="R6" s="144" t="s">
        <v>271</v>
      </c>
      <c r="S6" s="145">
        <f>'Historical Financials'!B37</f>
        <v>2835000</v>
      </c>
      <c r="T6" s="145">
        <f>'Historical Financials'!C37</f>
        <v>3758600</v>
      </c>
      <c r="U6" s="145">
        <f>'Historical Financials'!D37</f>
        <v>4632400</v>
      </c>
      <c r="V6" s="145">
        <f>'Historical Financials'!E37</f>
        <v>4504800</v>
      </c>
      <c r="W6" s="145">
        <f>'Historical Financials'!F37</f>
        <v>5100500</v>
      </c>
      <c r="X6" s="145">
        <f>'Income Statement Forecast'!C8</f>
        <v>5508540</v>
      </c>
      <c r="Y6" s="145">
        <f>'Income Statement Forecast'!D8</f>
        <v>5894137.8000000007</v>
      </c>
      <c r="Z6" s="145">
        <f>'Income Statement Forecast'!E8</f>
        <v>6247786.0680000009</v>
      </c>
    </row>
    <row r="7" spans="1:26" x14ac:dyDescent="0.3">
      <c r="A7" s="185" t="s">
        <v>8</v>
      </c>
      <c r="B7" s="186"/>
      <c r="D7" s="185" t="s">
        <v>9</v>
      </c>
      <c r="E7" s="186"/>
      <c r="G7" s="185" t="s">
        <v>10</v>
      </c>
      <c r="H7" s="186"/>
      <c r="R7" s="144" t="s">
        <v>272</v>
      </c>
      <c r="S7" s="145">
        <f>'Historical Financials'!B41</f>
        <v>1778400</v>
      </c>
      <c r="T7" s="145">
        <f>'Historical Financials'!C41</f>
        <v>2551500</v>
      </c>
      <c r="U7" s="145">
        <f>'Historical Financials'!D41</f>
        <v>2812100</v>
      </c>
      <c r="V7" s="145">
        <f>'Historical Financials'!E41</f>
        <v>3495500</v>
      </c>
      <c r="W7" s="145">
        <f>'Historical Financials'!F41</f>
        <v>3868900</v>
      </c>
      <c r="X7" s="145">
        <f>'Income Statement Forecast'!C9</f>
        <v>4255790</v>
      </c>
      <c r="Y7" s="145">
        <f>'Income Statement Forecast'!D9</f>
        <v>4638811.1000000006</v>
      </c>
      <c r="Z7" s="145">
        <f>'Income Statement Forecast'!E9</f>
        <v>5009915.9880000008</v>
      </c>
    </row>
    <row r="8" spans="1:26" ht="25.95" customHeight="1" x14ac:dyDescent="0.3">
      <c r="A8" s="183">
        <f>CHOOSE(Dash_YearIdx,$X$8,$Y$8,$Z$8)</f>
        <v>9764330</v>
      </c>
      <c r="B8" s="184"/>
      <c r="D8" s="189">
        <f>CHOOSE(Dash_YearIdx,$X$9,$Y$9,$Z$9)</f>
        <v>0.53306640598996557</v>
      </c>
      <c r="E8" s="184"/>
      <c r="G8" s="189">
        <f>CHOOSE(Dash_YearIdx,$X$10,$Y$10,$Z$10)</f>
        <v>0.10406640598996557</v>
      </c>
      <c r="H8" s="184"/>
      <c r="R8" s="144" t="s">
        <v>8</v>
      </c>
      <c r="S8" s="145">
        <f>'Historical Financials'!B8</f>
        <v>4613431</v>
      </c>
      <c r="T8" s="145">
        <f>'Historical Financials'!C8</f>
        <v>6310188</v>
      </c>
      <c r="U8" s="145">
        <f>'Historical Financials'!D8</f>
        <v>7444550</v>
      </c>
      <c r="V8" s="145">
        <f>'Historical Financials'!E8</f>
        <v>8000342</v>
      </c>
      <c r="W8" s="145">
        <f>'Historical Financials'!F8</f>
        <v>8969351</v>
      </c>
      <c r="X8" s="145">
        <f>'Income Statement Forecast'!C10</f>
        <v>9764330</v>
      </c>
      <c r="Y8" s="145">
        <f>'Income Statement Forecast'!D10</f>
        <v>10532948.900000002</v>
      </c>
      <c r="Z8" s="145">
        <f>'Income Statement Forecast'!E10</f>
        <v>11257702.056000002</v>
      </c>
    </row>
    <row r="9" spans="1:26" x14ac:dyDescent="0.3">
      <c r="A9" s="194">
        <f>CHOOSE(Dash_YearIdx,$X$8-$W$8,$Y$8-$X$8,$Z$8-$Y$8)</f>
        <v>794979</v>
      </c>
      <c r="B9" s="191"/>
      <c r="D9" s="196">
        <f>CHOOSE(Dash_YearIdx,$X$9-$W$9,$Y$9-$X$9,$Z$9-$Y$9)</f>
        <v>1.5408808990197143E-3</v>
      </c>
      <c r="E9" s="191"/>
      <c r="G9" s="196">
        <f>CHOOSE(Dash_YearIdx,$X$10-$W$10,$Y$10-$X$10,$Z$10-$Y$10)</f>
        <v>3.2500815981561793E-3</v>
      </c>
      <c r="H9" s="191"/>
      <c r="R9" s="144" t="s">
        <v>9</v>
      </c>
      <c r="S9" s="146">
        <f>'Historical Financials'!B11</f>
        <v>0.47812528246331198</v>
      </c>
      <c r="T9" s="146">
        <f>'Historical Financials'!C11</f>
        <v>0.49513120686737067</v>
      </c>
      <c r="U9" s="146">
        <f>'Historical Financials'!D11</f>
        <v>0.47220543887810545</v>
      </c>
      <c r="V9" s="146">
        <f>'Historical Financials'!E11</f>
        <v>0.51902831153968165</v>
      </c>
      <c r="W9" s="146">
        <f>'Historical Financials'!F11</f>
        <v>0.53152552509094586</v>
      </c>
      <c r="X9" s="146">
        <f>'Income Statement Forecast'!C21</f>
        <v>0.53306640598996557</v>
      </c>
      <c r="Y9" s="146">
        <f>'Income Statement Forecast'!D21</f>
        <v>0.53409214479337319</v>
      </c>
      <c r="Z9" s="146">
        <f>'Income Statement Forecast'!E21</f>
        <v>0.53512976819716263</v>
      </c>
    </row>
    <row r="10" spans="1:26" x14ac:dyDescent="0.3">
      <c r="R10" s="144" t="s">
        <v>10</v>
      </c>
      <c r="S10" s="146">
        <f>'Historical Financials'!B18</f>
        <v>2.8977132203776321E-2</v>
      </c>
      <c r="T10" s="146">
        <f>'Historical Financials'!C18</f>
        <v>9.4797017141169171E-2</v>
      </c>
      <c r="U10" s="146">
        <f>'Historical Financials'!D18</f>
        <v>7.343224237865284E-2</v>
      </c>
      <c r="V10" s="146">
        <f>'Historical Financials'!E18</f>
        <v>9.809405647908552E-2</v>
      </c>
      <c r="W10" s="146">
        <f>'Historical Financials'!F18</f>
        <v>0.10081632439180939</v>
      </c>
      <c r="X10" s="146">
        <f>'Income Statement Forecast'!C27</f>
        <v>0.10406640598996557</v>
      </c>
      <c r="Y10" s="146">
        <f>'Income Statement Forecast'!D27</f>
        <v>0.10509214479337316</v>
      </c>
      <c r="Z10" s="146">
        <f>'Income Statement Forecast'!E27</f>
        <v>0.10612976819716256</v>
      </c>
    </row>
    <row r="11" spans="1:26" x14ac:dyDescent="0.3">
      <c r="A11" s="185" t="s">
        <v>11</v>
      </c>
      <c r="B11" s="186"/>
      <c r="D11" s="185" t="s">
        <v>12</v>
      </c>
      <c r="E11" s="186"/>
      <c r="G11" s="185" t="s">
        <v>13</v>
      </c>
      <c r="H11" s="186"/>
      <c r="R11" s="144" t="s">
        <v>133</v>
      </c>
      <c r="S11" s="146">
        <f>'Historical Financials'!B27</f>
        <v>2.1364576602532909E-2</v>
      </c>
      <c r="T11" s="146">
        <f>'Historical Financials'!C27</f>
        <v>0.11750886027484443</v>
      </c>
      <c r="U11" s="146">
        <f>'Historical Financials'!D27</f>
        <v>5.0107528326090896E-2</v>
      </c>
      <c r="V11" s="146">
        <f>'Historical Financials'!E27</f>
        <v>6.8221958511273648E-2</v>
      </c>
      <c r="W11" s="146">
        <f>'Historical Financials'!F27</f>
        <v>7.1295124920409514E-2</v>
      </c>
      <c r="X11" s="146">
        <f>'Income Statement Forecast'!C36</f>
        <v>6.7568576232061014E-2</v>
      </c>
      <c r="Y11" s="146">
        <f>'Income Statement Forecast'!D36</f>
        <v>6.8678454548830148E-2</v>
      </c>
      <c r="Z11" s="146">
        <f>'Income Statement Forecast'!E36</f>
        <v>6.9730339581457496E-2</v>
      </c>
    </row>
    <row r="12" spans="1:26" ht="25.95" customHeight="1" x14ac:dyDescent="0.3">
      <c r="A12" s="183">
        <f>CHOOSE(Dash_YearIdx,$X$15,$Y$15,$Z$15)</f>
        <v>659761.87596000032</v>
      </c>
      <c r="B12" s="184"/>
      <c r="D12" s="197">
        <f>CHOOSE(Dash_YearIdx,$X$16,$Y$16,$Z$16)</f>
        <v>4.4008303451599931</v>
      </c>
      <c r="E12" s="184"/>
      <c r="G12" s="183">
        <f>CHOOSE(Dash_YearIdx,$X$17,$Y$17,$Z$17)</f>
        <v>343841.0427191786</v>
      </c>
      <c r="H12" s="184"/>
      <c r="R12" s="144" t="s">
        <v>355</v>
      </c>
      <c r="S12" s="147">
        <f>'Historical Financials'!B104</f>
        <v>49.036606378203118</v>
      </c>
      <c r="T12" s="147">
        <f>'Historical Financials'!C104</f>
        <v>42.386921752569023</v>
      </c>
      <c r="U12" s="147">
        <f>'Historical Financials'!D104</f>
        <v>41.590795279768422</v>
      </c>
      <c r="V12" s="147">
        <f>'Historical Financials'!E104</f>
        <v>39.249509583465304</v>
      </c>
      <c r="W12" s="147">
        <f>'Historical Financials'!F104</f>
        <v>40.309903135689531</v>
      </c>
      <c r="X12" s="147">
        <f>DSO</f>
        <v>40</v>
      </c>
      <c r="Y12" s="147">
        <f>DSO</f>
        <v>40</v>
      </c>
      <c r="Z12" s="147">
        <f>DSO</f>
        <v>40</v>
      </c>
    </row>
    <row r="13" spans="1:26" x14ac:dyDescent="0.3">
      <c r="A13" s="194">
        <f>CHOOSE(Dash_YearIdx,$X$15-$W$15,$Y$15-$X$15,$Z$15-$Y$15)</f>
        <v>20290.875960000325</v>
      </c>
      <c r="B13" s="191"/>
      <c r="D13" s="190">
        <f>CHOOSE(Dash_YearIdx,$X$16-$W$16,$Y$16-$X$16,$Z$16-$Y$16)</f>
        <v>0.24083034515999291</v>
      </c>
      <c r="E13" s="191"/>
      <c r="G13" s="194">
        <f>CHOOSE(Dash_YearIdx,$X$17-$W$17,$Y$17-$X$17,$Z$17-$Y$17)</f>
        <v>73241.042719178658</v>
      </c>
      <c r="H13" s="191"/>
      <c r="R13" s="144" t="s">
        <v>356</v>
      </c>
      <c r="S13" s="147">
        <f>'Historical Financials'!B105</f>
        <v>154.14413658560088</v>
      </c>
      <c r="T13" s="147">
        <f>'Historical Financials'!C105</f>
        <v>168.5322195217114</v>
      </c>
      <c r="U13" s="147">
        <f>'Historical Financials'!D105</f>
        <v>168.88349337892029</v>
      </c>
      <c r="V13" s="147">
        <f>'Historical Financials'!E105</f>
        <v>144.69419335758531</v>
      </c>
      <c r="W13" s="147">
        <f>'Historical Financials'!F105</f>
        <v>166.72788244970386</v>
      </c>
      <c r="X13" s="147">
        <f>DIO</f>
        <v>165</v>
      </c>
      <c r="Y13" s="147">
        <f>DIO</f>
        <v>165</v>
      </c>
      <c r="Z13" s="147">
        <f>DIO</f>
        <v>165</v>
      </c>
    </row>
    <row r="14" spans="1:26" x14ac:dyDescent="0.3">
      <c r="A14" s="149" t="s">
        <v>357</v>
      </c>
      <c r="R14" s="144" t="s">
        <v>358</v>
      </c>
      <c r="S14" s="147">
        <f>'Historical Financials'!B106</f>
        <v>112.80295003432833</v>
      </c>
      <c r="T14" s="147">
        <f>'Historical Financials'!C106</f>
        <v>100.40276324722984</v>
      </c>
      <c r="U14" s="147">
        <f>'Historical Financials'!D106</f>
        <v>88.93560586105086</v>
      </c>
      <c r="V14" s="147">
        <f>'Historical Financials'!E106</f>
        <v>95.61494104114982</v>
      </c>
      <c r="W14" s="147">
        <f>'Historical Financials'!F106</f>
        <v>107.87252803009677</v>
      </c>
      <c r="X14" s="147">
        <f>DPO</f>
        <v>108</v>
      </c>
      <c r="Y14" s="147">
        <f>DPO</f>
        <v>108</v>
      </c>
      <c r="Z14" s="147">
        <f>DPO</f>
        <v>108</v>
      </c>
    </row>
    <row r="15" spans="1:26" x14ac:dyDescent="0.3">
      <c r="R15" s="144" t="s">
        <v>11</v>
      </c>
      <c r="W15" s="145">
        <f>'Historical Financials'!F26</f>
        <v>639471</v>
      </c>
      <c r="X15" s="145">
        <f>'Income Statement Forecast'!C35</f>
        <v>659761.87596000032</v>
      </c>
      <c r="Y15" s="145">
        <f>'Income Statement Forecast'!D35</f>
        <v>723386.65229380061</v>
      </c>
      <c r="Z15" s="145">
        <f>'Income Statement Forecast'!E35</f>
        <v>785003.38727175235</v>
      </c>
    </row>
    <row r="16" spans="1:26" x14ac:dyDescent="0.3">
      <c r="R16" s="144" t="s">
        <v>12</v>
      </c>
      <c r="W16" s="148">
        <f>'Historical Financials'!F29</f>
        <v>4.16</v>
      </c>
      <c r="X16" s="148">
        <f>'Income Statement Forecast'!C38</f>
        <v>4.4008303451599931</v>
      </c>
      <c r="Y16" s="148">
        <f>'Income Statement Forecast'!D38</f>
        <v>4.9495017978937321</v>
      </c>
      <c r="Z16" s="148">
        <f>'Income Statement Forecast'!E38</f>
        <v>5.5087660764857747</v>
      </c>
    </row>
    <row r="17" spans="18:26" x14ac:dyDescent="0.3">
      <c r="R17" s="144" t="s">
        <v>13</v>
      </c>
      <c r="W17" s="145">
        <f>'Historical Financials'!F101*1000</f>
        <v>270599.99999999994</v>
      </c>
      <c r="X17" s="145">
        <f>'Cash Flow Forecast'!C32</f>
        <v>343841.0427191786</v>
      </c>
      <c r="Y17" s="145">
        <f>'Cash Flow Forecast'!D32</f>
        <v>552999.74667969206</v>
      </c>
      <c r="Z17" s="145">
        <f>'Cash Flow Forecast'!E32</f>
        <v>721724.02377444832</v>
      </c>
    </row>
    <row r="19" spans="18:26" x14ac:dyDescent="0.3">
      <c r="R19" s="138" t="s">
        <v>359</v>
      </c>
      <c r="S19" s="141" t="s">
        <v>11</v>
      </c>
      <c r="T19" s="141" t="s">
        <v>13</v>
      </c>
    </row>
    <row r="20" spans="18:26" x14ac:dyDescent="0.3">
      <c r="R20" s="144" t="s">
        <v>5</v>
      </c>
      <c r="S20" s="145">
        <f>'Scenario Analysis'!B11</f>
        <v>378968.16188000003</v>
      </c>
      <c r="T20" s="145">
        <f>'Scenario Analysis'!B13</f>
        <v>208515.503788</v>
      </c>
    </row>
    <row r="21" spans="18:26" x14ac:dyDescent="0.3">
      <c r="R21" s="144" t="s">
        <v>6</v>
      </c>
      <c r="S21" s="145">
        <f>'Scenario Analysis'!C11</f>
        <v>659761.87595999998</v>
      </c>
      <c r="T21" s="145">
        <f>'Scenario Analysis'!C13</f>
        <v>343841.04271900002</v>
      </c>
    </row>
    <row r="22" spans="18:26" x14ac:dyDescent="0.3">
      <c r="R22" s="144" t="s">
        <v>7</v>
      </c>
      <c r="S22" s="145">
        <f>'Scenario Analysis'!D11</f>
        <v>911908.90190399997</v>
      </c>
      <c r="T22" s="145">
        <f>'Scenario Analysis'!D13</f>
        <v>480461.55877300003</v>
      </c>
    </row>
    <row r="45" spans="1:5" x14ac:dyDescent="0.3">
      <c r="A45" s="188" t="s">
        <v>360</v>
      </c>
      <c r="B45" s="167"/>
      <c r="C45" s="167"/>
      <c r="D45" s="167"/>
      <c r="E45" s="167"/>
    </row>
    <row r="46" spans="1:5" x14ac:dyDescent="0.3">
      <c r="A46" s="192" t="s">
        <v>98</v>
      </c>
      <c r="B46" s="193"/>
      <c r="C46" s="150" t="s">
        <v>99</v>
      </c>
      <c r="D46" s="150" t="s">
        <v>100</v>
      </c>
      <c r="E46" s="151" t="s">
        <v>101</v>
      </c>
    </row>
    <row r="47" spans="1:5" ht="18" customHeight="1" x14ac:dyDescent="0.3">
      <c r="A47" s="182" t="s">
        <v>361</v>
      </c>
      <c r="B47" s="167"/>
      <c r="C47" s="152" t="str">
        <f>IF(ABS(BS_BalanceCheck_25)&lt;1,"PASS","FAIL")</f>
        <v>PASS</v>
      </c>
      <c r="D47" s="152" t="str">
        <f>IF(ABS(BS_BalanceCheck_26)&lt;1,"PASS","FAIL")</f>
        <v>PASS</v>
      </c>
      <c r="E47" s="153" t="str">
        <f>IF(ABS(BS_BalanceCheck_27)&lt;1,"PASS","FAIL")</f>
        <v>PASS</v>
      </c>
    </row>
    <row r="48" spans="1:5" ht="18" customHeight="1" x14ac:dyDescent="0.3">
      <c r="A48" s="182" t="s">
        <v>362</v>
      </c>
      <c r="B48" s="167"/>
      <c r="C48" s="152" t="str">
        <f>IF(ABS(CF_TieCheck_25)&lt;1,"PASS","FAIL")</f>
        <v>PASS</v>
      </c>
      <c r="D48" s="152" t="str">
        <f>IF(ABS(CF_TieCheck_26)&lt;1,"PASS","FAIL")</f>
        <v>PASS</v>
      </c>
      <c r="E48" s="153" t="str">
        <f>IF(ABS(CF_TieCheck_27)&lt;1,"PASS","FAIL")</f>
        <v>PASS</v>
      </c>
    </row>
    <row r="49" spans="1:5" ht="18" customHeight="1" x14ac:dyDescent="0.3">
      <c r="A49" s="182" t="s">
        <v>363</v>
      </c>
      <c r="B49" s="167"/>
      <c r="C49" s="152" t="str">
        <f>IF(ABS('Cash Flow Forecast'!C7-IS_NetEarnings_25)&lt;1,"PASS","FAIL")</f>
        <v>PASS</v>
      </c>
      <c r="D49" s="152" t="str">
        <f>IF(ABS('Cash Flow Forecast'!D7-IS_NetEarnings_26)&lt;1,"PASS","FAIL")</f>
        <v>PASS</v>
      </c>
      <c r="E49" s="153" t="str">
        <f>IF(ABS('Cash Flow Forecast'!E7-IS_NetEarnings_27)&lt;1,"PASS","FAIL")</f>
        <v>PASS</v>
      </c>
    </row>
    <row r="50" spans="1:5" ht="18" customHeight="1" x14ac:dyDescent="0.3">
      <c r="A50" s="195" t="s">
        <v>364</v>
      </c>
      <c r="B50" s="175"/>
      <c r="C50" s="154" t="str">
        <f>IF(ABS(BS_BalanceCheck_25)&lt;1,"PASS","FAIL")</f>
        <v>PASS</v>
      </c>
      <c r="D50" s="154" t="str">
        <f>IF(ABS(BS_BalanceCheck_26)&lt;1,"PASS","FAIL")</f>
        <v>PASS</v>
      </c>
      <c r="E50" s="155" t="str">
        <f>IF(ABS(BS_BalanceCheck_27)&lt;1,"PASS","FAIL")</f>
        <v>PASS</v>
      </c>
    </row>
    <row r="51" spans="1:5" ht="24" customHeight="1" x14ac:dyDescent="0.3">
      <c r="A51" s="187" t="s">
        <v>365</v>
      </c>
      <c r="B51" s="167"/>
      <c r="C51" s="167"/>
      <c r="D51" s="167"/>
      <c r="E51" s="167"/>
    </row>
  </sheetData>
  <mergeCells count="25">
    <mergeCell ref="D8:E8"/>
    <mergeCell ref="A13:B13"/>
    <mergeCell ref="A9:B9"/>
    <mergeCell ref="G9:H9"/>
    <mergeCell ref="A51:E51"/>
    <mergeCell ref="A45:E45"/>
    <mergeCell ref="G8:H8"/>
    <mergeCell ref="A7:B7"/>
    <mergeCell ref="G7:H7"/>
    <mergeCell ref="D13:E13"/>
    <mergeCell ref="D11:E11"/>
    <mergeCell ref="A46:B46"/>
    <mergeCell ref="G13:H13"/>
    <mergeCell ref="A50:B50"/>
    <mergeCell ref="A12:B12"/>
    <mergeCell ref="D7:E7"/>
    <mergeCell ref="A47:B47"/>
    <mergeCell ref="A8:B8"/>
    <mergeCell ref="D9:E9"/>
    <mergeCell ref="D12:E12"/>
    <mergeCell ref="A48:B48"/>
    <mergeCell ref="G12:H12"/>
    <mergeCell ref="A11:B11"/>
    <mergeCell ref="G11:H11"/>
    <mergeCell ref="A49:B49"/>
  </mergeCells>
  <conditionalFormatting sqref="C47:E50">
    <cfRule type="cellIs" dxfId="1" priority="1" operator="equal">
      <formula>"PASS"</formula>
    </cfRule>
    <cfRule type="cellIs" dxfId="0" priority="2" operator="equal">
      <formula>"FAIL"</formula>
    </cfRule>
  </conditionalFormatting>
  <dataValidations count="1">
    <dataValidation type="list" error="Pick FY2025, FY2026, or FY2027." promptTitle="Forecast Year" prompt="Choose the forecast year for the scorecard." sqref="B5" xr:uid="{00000000-0002-0000-0900-000000000000}">
      <formula1>"FY2025,FY2026,FY2027"</formula1>
    </dataValidation>
  </dataValidation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172</vt:i4>
      </vt:variant>
    </vt:vector>
  </HeadingPairs>
  <TitlesOfParts>
    <vt:vector size="182" baseType="lpstr">
      <vt:lpstr>README</vt:lpstr>
      <vt:lpstr>Historical Financials</vt:lpstr>
      <vt:lpstr>Assumptions</vt:lpstr>
      <vt:lpstr>Supporting Schedules</vt:lpstr>
      <vt:lpstr>Income Statement Forecast</vt:lpstr>
      <vt:lpstr>Balance Sheet Forecast</vt:lpstr>
      <vt:lpstr>Cash Flow Forecast</vt:lpstr>
      <vt:lpstr>Variance Analysis</vt:lpstr>
      <vt:lpstr>Scenario Analysis</vt:lpstr>
      <vt:lpstr>KPI Dashboard</vt:lpstr>
      <vt:lpstr>Accrued_Pct</vt:lpstr>
      <vt:lpstr>BS_Accrued_25</vt:lpstr>
      <vt:lpstr>BS_Accrued_26</vt:lpstr>
      <vt:lpstr>BS_Accrued_27</vt:lpstr>
      <vt:lpstr>BS_AP_25</vt:lpstr>
      <vt:lpstr>BS_AP_26</vt:lpstr>
      <vt:lpstr>BS_AP_27</vt:lpstr>
      <vt:lpstr>BS_AR_25</vt:lpstr>
      <vt:lpstr>BS_AR_26</vt:lpstr>
      <vt:lpstr>BS_AR_27</vt:lpstr>
      <vt:lpstr>BS_BalanceCheck_25</vt:lpstr>
      <vt:lpstr>BS_BalanceCheck_26</vt:lpstr>
      <vt:lpstr>BS_BalanceCheck_27</vt:lpstr>
      <vt:lpstr>BS_Cash_25</vt:lpstr>
      <vt:lpstr>BS_Cash_26</vt:lpstr>
      <vt:lpstr>BS_Cash_27</vt:lpstr>
      <vt:lpstr>BS_Inventory_25</vt:lpstr>
      <vt:lpstr>BS_Inventory_26</vt:lpstr>
      <vt:lpstr>BS_Inventory_27</vt:lpstr>
      <vt:lpstr>BS_OtherCA_25</vt:lpstr>
      <vt:lpstr>BS_OtherCA_26</vt:lpstr>
      <vt:lpstr>BS_OtherCA_27</vt:lpstr>
      <vt:lpstr>BS_RetainedEarnings_25</vt:lpstr>
      <vt:lpstr>BS_RetainedEarnings_26</vt:lpstr>
      <vt:lpstr>BS_RetainedEarnings_27</vt:lpstr>
      <vt:lpstr>BS_TotalAssets_25</vt:lpstr>
      <vt:lpstr>BS_TotalAssets_26</vt:lpstr>
      <vt:lpstr>BS_TotalAssets_27</vt:lpstr>
      <vt:lpstr>BS_TotalEquity_25</vt:lpstr>
      <vt:lpstr>BS_TotalEquity_26</vt:lpstr>
      <vt:lpstr>BS_TotalEquity_27</vt:lpstr>
      <vt:lpstr>BS_TotalLiab_25</vt:lpstr>
      <vt:lpstr>BS_TotalLiab_26</vt:lpstr>
      <vt:lpstr>BS_TotalLiab_27</vt:lpstr>
      <vt:lpstr>CapEx_25</vt:lpstr>
      <vt:lpstr>CapEx_26</vt:lpstr>
      <vt:lpstr>CapEx_27</vt:lpstr>
      <vt:lpstr>CF_EndingCash_25</vt:lpstr>
      <vt:lpstr>CF_EndingCash_26</vt:lpstr>
      <vt:lpstr>CF_EndingCash_27</vt:lpstr>
      <vt:lpstr>CF_FCF_25</vt:lpstr>
      <vt:lpstr>CF_FCF_26</vt:lpstr>
      <vt:lpstr>CF_FCF_27</vt:lpstr>
      <vt:lpstr>CF_FinancingCF_25</vt:lpstr>
      <vt:lpstr>CF_FinancingCF_26</vt:lpstr>
      <vt:lpstr>CF_FinancingCF_27</vt:lpstr>
      <vt:lpstr>CF_InvestingCF_25</vt:lpstr>
      <vt:lpstr>CF_InvestingCF_26</vt:lpstr>
      <vt:lpstr>CF_InvestingCF_27</vt:lpstr>
      <vt:lpstr>CF_NetChange_25</vt:lpstr>
      <vt:lpstr>CF_NetChange_26</vt:lpstr>
      <vt:lpstr>CF_NetChange_27</vt:lpstr>
      <vt:lpstr>CF_OperatingCF_25</vt:lpstr>
      <vt:lpstr>CF_OperatingCF_26</vt:lpstr>
      <vt:lpstr>CF_OperatingCF_27</vt:lpstr>
      <vt:lpstr>CF_TieCheck_25</vt:lpstr>
      <vt:lpstr>CF_TieCheck_26</vt:lpstr>
      <vt:lpstr>CF_TieCheck_27</vt:lpstr>
      <vt:lpstr>DA_25</vt:lpstr>
      <vt:lpstr>DA_26</vt:lpstr>
      <vt:lpstr>DA_27</vt:lpstr>
      <vt:lpstr>DA_Rate</vt:lpstr>
      <vt:lpstr>Dash_Year</vt:lpstr>
      <vt:lpstr>Dash_YearIdx</vt:lpstr>
      <vt:lpstr>Debt_Curr_25</vt:lpstr>
      <vt:lpstr>Debt_Curr_26</vt:lpstr>
      <vt:lpstr>Debt_Curr_27</vt:lpstr>
      <vt:lpstr>Debt_End_25</vt:lpstr>
      <vt:lpstr>Debt_End_26</vt:lpstr>
      <vt:lpstr>Debt_End_27</vt:lpstr>
      <vt:lpstr>Debt_LT_25</vt:lpstr>
      <vt:lpstr>Debt_LT_26</vt:lpstr>
      <vt:lpstr>Debt_LT_27</vt:lpstr>
      <vt:lpstr>DIO</vt:lpstr>
      <vt:lpstr>DPO</vt:lpstr>
      <vt:lpstr>DSO</vt:lpstr>
      <vt:lpstr>DTC_GM_25</vt:lpstr>
      <vt:lpstr>DTC_GM_26</vt:lpstr>
      <vt:lpstr>DTC_GM_27</vt:lpstr>
      <vt:lpstr>DTC_Growth_25</vt:lpstr>
      <vt:lpstr>DTC_Growth_26</vt:lpstr>
      <vt:lpstr>DTC_Growth_27</vt:lpstr>
      <vt:lpstr>GA_Pct_25</vt:lpstr>
      <vt:lpstr>GA_Pct_26</vt:lpstr>
      <vt:lpstr>GA_Pct_27</vt:lpstr>
      <vt:lpstr>Int_Exp_25</vt:lpstr>
      <vt:lpstr>Int_Exp_26</vt:lpstr>
      <vt:lpstr>Int_Exp_27</vt:lpstr>
      <vt:lpstr>Int_Rate</vt:lpstr>
      <vt:lpstr>IS_COGS_25</vt:lpstr>
      <vt:lpstr>IS_COGS_26</vt:lpstr>
      <vt:lpstr>IS_COGS_27</vt:lpstr>
      <vt:lpstr>IS_DTCRev_25</vt:lpstr>
      <vt:lpstr>IS_DTCRev_26</vt:lpstr>
      <vt:lpstr>IS_DTCRev_27</vt:lpstr>
      <vt:lpstr>IS_EBT_25</vt:lpstr>
      <vt:lpstr>IS_EBT_26</vt:lpstr>
      <vt:lpstr>IS_EBT_27</vt:lpstr>
      <vt:lpstr>IS_EPS_25</vt:lpstr>
      <vt:lpstr>IS_EPS_26</vt:lpstr>
      <vt:lpstr>IS_EPS_27</vt:lpstr>
      <vt:lpstr>IS_GA_25</vt:lpstr>
      <vt:lpstr>IS_GA_26</vt:lpstr>
      <vt:lpstr>IS_GA_27</vt:lpstr>
      <vt:lpstr>IS_GrossProfit_25</vt:lpstr>
      <vt:lpstr>IS_GrossProfit_26</vt:lpstr>
      <vt:lpstr>IS_GrossProfit_27</vt:lpstr>
      <vt:lpstr>IS_NCI_25</vt:lpstr>
      <vt:lpstr>IS_NCI_26</vt:lpstr>
      <vt:lpstr>IS_NCI_27</vt:lpstr>
      <vt:lpstr>IS_NetEarnings_25</vt:lpstr>
      <vt:lpstr>IS_NetEarnings_26</vt:lpstr>
      <vt:lpstr>IS_NetEarnings_27</vt:lpstr>
      <vt:lpstr>IS_NetSKX_25</vt:lpstr>
      <vt:lpstr>IS_NetSKX_26</vt:lpstr>
      <vt:lpstr>IS_NetSKX_27</vt:lpstr>
      <vt:lpstr>IS_OpInc_25</vt:lpstr>
      <vt:lpstr>IS_OpInc_26</vt:lpstr>
      <vt:lpstr>IS_OpInc_27</vt:lpstr>
      <vt:lpstr>IS_Sales_25</vt:lpstr>
      <vt:lpstr>IS_Sales_26</vt:lpstr>
      <vt:lpstr>IS_Sales_27</vt:lpstr>
      <vt:lpstr>IS_SellingExp_25</vt:lpstr>
      <vt:lpstr>IS_SellingExp_26</vt:lpstr>
      <vt:lpstr>IS_SellingExp_27</vt:lpstr>
      <vt:lpstr>IS_Tax_25</vt:lpstr>
      <vt:lpstr>IS_Tax_26</vt:lpstr>
      <vt:lpstr>IS_Tax_27</vt:lpstr>
      <vt:lpstr>IS_WhRev_25</vt:lpstr>
      <vt:lpstr>IS_WhRev_26</vt:lpstr>
      <vt:lpstr>IS_WhRev_27</vt:lpstr>
      <vt:lpstr>NCI_Pct</vt:lpstr>
      <vt:lpstr>New_Borrow</vt:lpstr>
      <vt:lpstr>OCA_Pct</vt:lpstr>
      <vt:lpstr>Other_Inc</vt:lpstr>
      <vt:lpstr>PPE_End_25</vt:lpstr>
      <vt:lpstr>PPE_End_26</vt:lpstr>
      <vt:lpstr>PPE_End_27</vt:lpstr>
      <vt:lpstr>'Historical Financials'!Print_Area</vt:lpstr>
      <vt:lpstr>Repay</vt:lpstr>
      <vt:lpstr>Repurchase</vt:lpstr>
      <vt:lpstr>Repurchase_Price</vt:lpstr>
      <vt:lpstr>SBC_Pct</vt:lpstr>
      <vt:lpstr>SC_MiniFCF</vt:lpstr>
      <vt:lpstr>SC_MiniNetSKX</vt:lpstr>
      <vt:lpstr>SC_RecapBase_FCF</vt:lpstr>
      <vt:lpstr>SC_RecapBase_NetSKX</vt:lpstr>
      <vt:lpstr>SC_RecapBase_Rev</vt:lpstr>
      <vt:lpstr>Scenario</vt:lpstr>
      <vt:lpstr>ScenarioIndex</vt:lpstr>
      <vt:lpstr>Selling_Pct_25</vt:lpstr>
      <vt:lpstr>Selling_Pct_26</vt:lpstr>
      <vt:lpstr>Selling_Pct_27</vt:lpstr>
      <vt:lpstr>Shares_Begin</vt:lpstr>
      <vt:lpstr>Shares_End_25</vt:lpstr>
      <vt:lpstr>Shares_End_26</vt:lpstr>
      <vt:lpstr>Shares_End_27</vt:lpstr>
      <vt:lpstr>Tax_25</vt:lpstr>
      <vt:lpstr>Tax_26</vt:lpstr>
      <vt:lpstr>Tax_27</vt:lpstr>
      <vt:lpstr>VA_EPSVar</vt:lpstr>
      <vt:lpstr>VA_GPVar</vt:lpstr>
      <vt:lpstr>VA_NetVar</vt:lpstr>
      <vt:lpstr>VA_OpIncVar</vt:lpstr>
      <vt:lpstr>VA_RevVar</vt:lpstr>
      <vt:lpstr>VA_RevVarPct</vt:lpstr>
      <vt:lpstr>Wh_GM_25</vt:lpstr>
      <vt:lpstr>Wh_GM_26</vt:lpstr>
      <vt:lpstr>Wh_GM_27</vt:lpstr>
      <vt:lpstr>Wh_Growth_25</vt:lpstr>
      <vt:lpstr>Wh_Growth_26</vt:lpstr>
      <vt:lpstr>Wh_Growth_27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Jonathan Nadeau</cp:lastModifiedBy>
  <cp:revision>0</cp:revision>
  <dcterms:created xsi:type="dcterms:W3CDTF">2026-04-10T15:29:47Z</dcterms:created>
  <dcterms:modified xsi:type="dcterms:W3CDTF">2026-05-26T16:29:42Z</dcterms:modified>
  <dc:language>en-US</dc:language>
</cp:coreProperties>
</file>